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Documents\Business\ecosur\UNEP ACAD - WAPP EF\GEF models\"/>
    </mc:Choice>
  </mc:AlternateContent>
  <bookViews>
    <workbookView xWindow="120" yWindow="120" windowWidth="20130" windowHeight="6735" tabRatio="834"/>
  </bookViews>
  <sheets>
    <sheet name="Cover page" sheetId="20" r:id="rId1"/>
    <sheet name="Step 1 Electricity System" sheetId="21" r:id="rId2"/>
    <sheet name="Step 2 Off-grid" sheetId="22" r:id="rId3"/>
    <sheet name="Step 3 LCMR" sheetId="11" r:id="rId4"/>
    <sheet name="Step 4 Simple Operating Margin" sheetId="24" r:id="rId5"/>
    <sheet name="Step 5 Build Margin" sheetId="23" r:id="rId6"/>
    <sheet name="Step 6 - Combined Margin" sheetId="25" r:id="rId7"/>
    <sheet name="IPCC Values" sheetId="8" r:id="rId8"/>
  </sheets>
  <definedNames>
    <definedName name="_xlnm._FilterDatabase" localSheetId="5" hidden="1">'Step 5 Build Margin'!$A$2:$AH$6</definedName>
  </definedNames>
  <calcPr calcId="152511"/>
</workbook>
</file>

<file path=xl/calcChain.xml><?xml version="1.0" encoding="utf-8"?>
<calcChain xmlns="http://schemas.openxmlformats.org/spreadsheetml/2006/main">
  <c r="B2" i="11" l="1"/>
  <c r="C2" i="11"/>
  <c r="B6" i="22" l="1"/>
  <c r="D2" i="11"/>
  <c r="F2" i="11" l="1"/>
  <c r="E2" i="11"/>
  <c r="G2" i="11" s="1"/>
  <c r="W4" i="23"/>
  <c r="W3" i="23"/>
  <c r="B4" i="23"/>
  <c r="C4" i="23"/>
  <c r="D4" i="23"/>
  <c r="E4" i="23"/>
  <c r="F4" i="23"/>
  <c r="G4" i="23"/>
  <c r="H4" i="23"/>
  <c r="I4" i="23"/>
  <c r="K4" i="23"/>
  <c r="L4" i="23"/>
  <c r="M4" i="23"/>
  <c r="N4" i="23"/>
  <c r="O4" i="23"/>
  <c r="P4" i="23"/>
  <c r="Q4" i="23"/>
  <c r="R4" i="23"/>
  <c r="S4" i="23"/>
  <c r="T4" i="23"/>
  <c r="U4" i="23"/>
  <c r="A4" i="23"/>
  <c r="B3" i="23"/>
  <c r="C3" i="23"/>
  <c r="D3" i="23"/>
  <c r="E3" i="23"/>
  <c r="F3" i="23"/>
  <c r="G3" i="23"/>
  <c r="H3" i="23"/>
  <c r="I3" i="23"/>
  <c r="K3" i="23"/>
  <c r="L3" i="23"/>
  <c r="M3" i="23"/>
  <c r="N3" i="23"/>
  <c r="O3" i="23"/>
  <c r="P3" i="23"/>
  <c r="Q3" i="23"/>
  <c r="R3" i="23"/>
  <c r="S3" i="23"/>
  <c r="T3" i="23"/>
  <c r="U3" i="23"/>
  <c r="AJ4" i="23" s="1"/>
  <c r="A3" i="23"/>
  <c r="J15" i="24" l="1"/>
  <c r="J14" i="24"/>
  <c r="AE14" i="24" s="1"/>
  <c r="J13" i="24"/>
  <c r="J4" i="23" s="1"/>
  <c r="J11" i="24"/>
  <c r="J3" i="23" s="1"/>
  <c r="J10" i="24"/>
  <c r="AE10" i="24" s="1"/>
  <c r="J7" i="24"/>
  <c r="AE7" i="24" s="1"/>
  <c r="J6" i="24"/>
  <c r="AD6" i="24" s="1"/>
  <c r="J5" i="24"/>
  <c r="AE5" i="24" s="1"/>
  <c r="J4" i="24"/>
  <c r="AF4" i="24" s="1"/>
  <c r="J3" i="24"/>
  <c r="AF3" i="24" s="1"/>
  <c r="V4" i="24" l="1"/>
  <c r="AF7" i="24"/>
  <c r="AB7" i="24" s="1"/>
  <c r="AC7" i="24" s="1"/>
  <c r="AE11" i="24"/>
  <c r="AG3" i="23" s="1"/>
  <c r="V3" i="24"/>
  <c r="AD7" i="24"/>
  <c r="V7" i="24"/>
  <c r="AE13" i="24"/>
  <c r="AG4" i="23" s="1"/>
  <c r="AE6" i="24"/>
  <c r="AD3" i="24"/>
  <c r="AD4" i="24"/>
  <c r="V6" i="24"/>
  <c r="AF6" i="24"/>
  <c r="AE3" i="24"/>
  <c r="AE4" i="24"/>
  <c r="AB4" i="24" s="1"/>
  <c r="AC4" i="24" s="1"/>
  <c r="AF5" i="24"/>
  <c r="AB5" i="24" s="1"/>
  <c r="AC5" i="24" s="1"/>
  <c r="AF10" i="24"/>
  <c r="AB10" i="24" s="1"/>
  <c r="AC10" i="24" s="1"/>
  <c r="AF11" i="24"/>
  <c r="AH3" i="23" s="1"/>
  <c r="AF13" i="24"/>
  <c r="AF14" i="24"/>
  <c r="AB14" i="24" s="1"/>
  <c r="AC14" i="24" s="1"/>
  <c r="AF15" i="24"/>
  <c r="AE15" i="24"/>
  <c r="V5" i="24"/>
  <c r="AD5" i="24"/>
  <c r="V10" i="24"/>
  <c r="AD10" i="24"/>
  <c r="V11" i="24"/>
  <c r="V3" i="23" s="1"/>
  <c r="AD11" i="24"/>
  <c r="AF3" i="23" s="1"/>
  <c r="V13" i="24"/>
  <c r="V4" i="23" s="1"/>
  <c r="AD13" i="24"/>
  <c r="AF4" i="23" s="1"/>
  <c r="V14" i="24"/>
  <c r="AD14" i="24"/>
  <c r="V15" i="24"/>
  <c r="AD15" i="24"/>
  <c r="AL5" i="23"/>
  <c r="AL7" i="23" s="1"/>
  <c r="AL8" i="23" s="1"/>
  <c r="B3" i="11" l="1"/>
  <c r="C3" i="11"/>
  <c r="AI5" i="24"/>
  <c r="AK5" i="24"/>
  <c r="AB15" i="24"/>
  <c r="AC15" i="24" s="1"/>
  <c r="AI4" i="24"/>
  <c r="AJ4" i="24"/>
  <c r="AJ6" i="24" s="1"/>
  <c r="AK4" i="24"/>
  <c r="AK6" i="24" s="1"/>
  <c r="E3" i="11"/>
  <c r="D3" i="11"/>
  <c r="F3" i="11"/>
  <c r="AB11" i="24"/>
  <c r="AD3" i="23" s="1"/>
  <c r="AB3" i="24"/>
  <c r="AC3" i="24" s="1"/>
  <c r="AB13" i="24"/>
  <c r="AH4" i="23"/>
  <c r="AB6" i="24"/>
  <c r="AC6" i="24" s="1"/>
  <c r="C4" i="11" l="1"/>
  <c r="B4" i="11"/>
  <c r="D6" i="11"/>
  <c r="G3" i="11"/>
  <c r="AJ7" i="24"/>
  <c r="AK7" i="24"/>
  <c r="AK9" i="24" s="1"/>
  <c r="AC11" i="24"/>
  <c r="AE3" i="23" s="1"/>
  <c r="AI8" i="24"/>
  <c r="AK8" i="24"/>
  <c r="AI6" i="24"/>
  <c r="AL4" i="24"/>
  <c r="AC13" i="24"/>
  <c r="AD4" i="23"/>
  <c r="AL6" i="24" l="1"/>
  <c r="AI11" i="24" s="1"/>
  <c r="AI7" i="24"/>
  <c r="AE4" i="23"/>
  <c r="AK6" i="23" s="1"/>
  <c r="AJ5" i="24"/>
  <c r="AJ10" i="24"/>
  <c r="AK10" i="24"/>
  <c r="AI10" i="24"/>
  <c r="AL6" i="23"/>
  <c r="AL10" i="23" s="1"/>
  <c r="W8" i="23"/>
  <c r="AK5" i="23"/>
  <c r="AK7" i="23" s="1"/>
  <c r="AK8" i="23" s="1"/>
  <c r="AL10" i="24" l="1"/>
  <c r="AK11" i="24"/>
  <c r="AJ11" i="24"/>
  <c r="AI9" i="24"/>
  <c r="AL7" i="24"/>
  <c r="AJ8" i="24"/>
  <c r="AL12" i="24" s="1"/>
  <c r="AJ9" i="24"/>
  <c r="AL5" i="24"/>
  <c r="AK10" i="23"/>
  <c r="AK13" i="23" s="1"/>
  <c r="X3" i="23"/>
  <c r="X4" i="23"/>
  <c r="D4" i="25" l="1"/>
  <c r="D5" i="25"/>
  <c r="H6" i="25"/>
  <c r="C6" i="25"/>
  <c r="H4" i="25"/>
  <c r="H5" i="25"/>
  <c r="AL13" i="24"/>
  <c r="AK9" i="23"/>
  <c r="AK12" i="23" s="1"/>
  <c r="AL9" i="23"/>
  <c r="I4" i="25" l="1"/>
  <c r="J4" i="25" s="1"/>
  <c r="D6" i="25"/>
  <c r="E6" i="25" s="1"/>
  <c r="I6" i="25"/>
  <c r="J6" i="25" s="1"/>
  <c r="I5" i="25"/>
  <c r="J5" i="25" s="1"/>
  <c r="C4" i="25"/>
  <c r="E4" i="25" s="1"/>
  <c r="C5" i="25"/>
  <c r="E5" i="25" s="1"/>
  <c r="J2" i="8" l="1"/>
  <c r="L2" i="8" l="1"/>
  <c r="N2" i="8" s="1"/>
  <c r="F4" i="11" l="1"/>
  <c r="D4" i="11"/>
  <c r="E4" i="11"/>
  <c r="G6" i="11" l="1"/>
  <c r="G4" i="11"/>
  <c r="H6" i="11" l="1"/>
  <c r="Y3" i="23"/>
  <c r="Y4" i="23" l="1"/>
</calcChain>
</file>

<file path=xl/sharedStrings.xml><?xml version="1.0" encoding="utf-8"?>
<sst xmlns="http://schemas.openxmlformats.org/spreadsheetml/2006/main" count="382" uniqueCount="189">
  <si>
    <t>Diesel</t>
  </si>
  <si>
    <t>Low cost/must run (GWh)</t>
  </si>
  <si>
    <t>Share of Low cost/must run (%)</t>
  </si>
  <si>
    <t>5yr average Low cost / must run:</t>
  </si>
  <si>
    <t>Nr.</t>
  </si>
  <si>
    <t>Power Plant</t>
  </si>
  <si>
    <t>Name of Operator</t>
  </si>
  <si>
    <t>Location</t>
  </si>
  <si>
    <t>Initial Installed Capacity (MW)</t>
  </si>
  <si>
    <t>Additions from Retrofits (MW)</t>
  </si>
  <si>
    <t>Country</t>
  </si>
  <si>
    <t>Gambia</t>
  </si>
  <si>
    <t>Comments</t>
  </si>
  <si>
    <t>Connected to the main national grid? (Y/N)</t>
  </si>
  <si>
    <t>Connected to the WAPP network? (Y/N)</t>
  </si>
  <si>
    <t>Transmission Line</t>
  </si>
  <si>
    <t>Maximum load capacity (MW)</t>
  </si>
  <si>
    <t>Generation technology</t>
  </si>
  <si>
    <t>Fuel types or source of energy</t>
  </si>
  <si>
    <t>Date of Installed Additions</t>
  </si>
  <si>
    <t>Current Total Capacity (MW)</t>
  </si>
  <si>
    <t>Current number of plant's units</t>
  </si>
  <si>
    <t>Installed capacity of each plant's unit (MW)</t>
  </si>
  <si>
    <t>Low-Cost-Must Run (LCMR)?
(Y/N)</t>
  </si>
  <si>
    <t>CDM project? (Y/N)</t>
  </si>
  <si>
    <t>AVG</t>
  </si>
  <si>
    <t>EFco2,m,i</t>
  </si>
  <si>
    <t>ɳ</t>
  </si>
  <si>
    <t>ɳm,i</t>
  </si>
  <si>
    <t>Coal</t>
  </si>
  <si>
    <t>Oil</t>
  </si>
  <si>
    <t>IPCC VALUES</t>
  </si>
  <si>
    <t>Natural Gas</t>
  </si>
  <si>
    <t>Year of Data</t>
  </si>
  <si>
    <t>Y</t>
  </si>
  <si>
    <t>GJ/Mass or Unit</t>
  </si>
  <si>
    <t>N</t>
  </si>
  <si>
    <t>FCi,m,y</t>
  </si>
  <si>
    <t>NCVi,y</t>
  </si>
  <si>
    <t>EFpowerplant = SUM(FCi,m,y) + NCVi,y * EFco2,I,y)/EGm,y</t>
  </si>
  <si>
    <t>EFco2,i,y (tCO2/GJ)</t>
  </si>
  <si>
    <t>EGm,y * EFel,m,y</t>
  </si>
  <si>
    <t>EGm,y</t>
  </si>
  <si>
    <t xml:space="preserve"> Power plants data</t>
  </si>
  <si>
    <t>Date of Commissioning of the power plant</t>
  </si>
  <si>
    <t>Units</t>
  </si>
  <si>
    <t>LC:MR, double check (automatic)
(Y/N)</t>
  </si>
  <si>
    <t>tonnes</t>
  </si>
  <si>
    <t>NCV (Gj/t)</t>
  </si>
  <si>
    <t>EF (tCO2/Gj)</t>
  </si>
  <si>
    <t>SET 20%</t>
  </si>
  <si>
    <t>SET 5 units</t>
  </si>
  <si>
    <t>Wom</t>
  </si>
  <si>
    <t>Wbm</t>
  </si>
  <si>
    <t>OM</t>
  </si>
  <si>
    <t>BM</t>
  </si>
  <si>
    <t>CM</t>
  </si>
  <si>
    <t>Simple OM Possible?</t>
  </si>
  <si>
    <t>Country Specific Results on Operating Margin</t>
  </si>
  <si>
    <t>In case available, for each hour of each relevant year 2010, 2011 and 2012, the load capacity  (Typically in MW). In case Simple Adjusted OM is applicable.</t>
  </si>
  <si>
    <t>For each hour of each relevant year 2010, 2011 and 2012  (Typically in MW)</t>
  </si>
  <si>
    <t>J.</t>
  </si>
  <si>
    <t>x</t>
  </si>
  <si>
    <t>Grid Load data :</t>
  </si>
  <si>
    <r>
      <t>CO</t>
    </r>
    <r>
      <rPr>
        <vertAlign val="subscript"/>
        <sz val="10"/>
        <rFont val="Arial"/>
        <family val="2"/>
      </rPr>
      <t>2</t>
    </r>
    <r>
      <rPr>
        <sz val="10"/>
        <rFont val="Arial"/>
        <family val="2"/>
      </rPr>
      <t xml:space="preserve"> emission factors of fuel(s) used in tCO2/GJ; If not available, conservative figures from IPCC are used.</t>
    </r>
  </si>
  <si>
    <t>CO2 emission factors of fuel(s) used in tCO2/GJ; If not available we will have to use conservative figures from IPCC</t>
  </si>
  <si>
    <t>I.</t>
  </si>
  <si>
    <r>
      <t>Density of the consumed fuel type(s) in Mass per Volume (e.g. t/m</t>
    </r>
    <r>
      <rPr>
        <vertAlign val="superscript"/>
        <sz val="10"/>
        <rFont val="Arial"/>
        <family val="2"/>
      </rPr>
      <t>3</t>
    </r>
    <r>
      <rPr>
        <sz val="10"/>
        <rFont val="Arial"/>
        <family val="2"/>
      </rPr>
      <t>)</t>
    </r>
  </si>
  <si>
    <t xml:space="preserve">Density of the consumed fuel type(s) in </t>
  </si>
  <si>
    <t>H.</t>
  </si>
  <si>
    <t>Net calorific values of fuel(s) used in GJ/liter or GJ/tone; If not available, conservative figures from IPCC are used.</t>
  </si>
  <si>
    <t>Net calorific values of fuel(s) used in GJ/liter or GJ/tone; If not available we will have to use conservative figures from IPCC</t>
  </si>
  <si>
    <t>G.</t>
  </si>
  <si>
    <t>The fuel consumption of each fuel type in each power plant for relevant year(s), 2010, 2011, 2012 (e.g. in mass or volume units)</t>
  </si>
  <si>
    <t>The fuel consumption of each fuel type in the plant for relevant year(s), 2010, 2011, 2012</t>
  </si>
  <si>
    <t>F.</t>
  </si>
  <si>
    <t xml:space="preserve">Additional data requirements for thermal power plants: </t>
  </si>
  <si>
    <t>The quantity of net electricity generation in each year, reported on annual basis (2008, 2009, 2010, 2011, 2012) in MWh or GWh. 2008 and 2009 data is used for Simple OM applicability heck.</t>
  </si>
  <si>
    <t>The quantity of net electricity generation in each year, reported on a monthly basis (2010, 2011, 2012) in MWh or GWh</t>
  </si>
  <si>
    <t>E.</t>
  </si>
  <si>
    <t>The fuel type(s) used per plant (Hydro, Natural Gas, Diesel, HFO etc.)</t>
  </si>
  <si>
    <t>The fuel type(s) used per plant (Hydro, Diesel, HFO etc.)</t>
  </si>
  <si>
    <t>D.</t>
  </si>
  <si>
    <t>The installed capacity per power plant (MW)</t>
  </si>
  <si>
    <t>The installed capacity (MW)</t>
  </si>
  <si>
    <t>C.</t>
  </si>
  <si>
    <t>The date of commissioning per plant</t>
  </si>
  <si>
    <t>B.</t>
  </si>
  <si>
    <t xml:space="preserve">Information to clearly identify each plant  (Name of Plant, Name of Operation, Location, etc.) </t>
  </si>
  <si>
    <t>A.</t>
  </si>
  <si>
    <t>Power plant information requirements (all plants):</t>
  </si>
  <si>
    <t>Review listing of data requirements and mark data availability using 'X'</t>
  </si>
  <si>
    <t>Input Requirements</t>
  </si>
  <si>
    <t>Calculating the combined margin (CM) emission factor for different project types, data vintage and crediting periods.</t>
  </si>
  <si>
    <t>Step 6:</t>
  </si>
  <si>
    <t>Calculate the build margin emission (BM) factor</t>
  </si>
  <si>
    <t>Step 5:</t>
  </si>
  <si>
    <t>Calculate the operating margin emission factor according to the selected method; Here based on Simple OM method</t>
  </si>
  <si>
    <t>Step 4:</t>
  </si>
  <si>
    <t>Select a method to determine the operating margin (OM); Check if Simple OM is applicable</t>
  </si>
  <si>
    <t>Step 3:</t>
  </si>
  <si>
    <t>Choose whether to include off-grid power plants in the project electricity system</t>
  </si>
  <si>
    <t>Step 2:</t>
  </si>
  <si>
    <t xml:space="preserve"> </t>
  </si>
  <si>
    <t>Identifying the relevant electricity systems</t>
  </si>
  <si>
    <t>Step 1:</t>
  </si>
  <si>
    <t>This sheet presents the final results.</t>
  </si>
  <si>
    <t>Results Summary</t>
  </si>
  <si>
    <t>Sheets' Guide</t>
  </si>
  <si>
    <t xml:space="preserve">Last Updated: </t>
  </si>
  <si>
    <t>Tool's Version:</t>
  </si>
  <si>
    <t>Based on UNFCCC Methodology, "Tool to calculate the emission factor for an electricity system" (Version 4)</t>
  </si>
  <si>
    <t>mmcf/d</t>
  </si>
  <si>
    <t>to</t>
  </si>
  <si>
    <t>/1250</t>
  </si>
  <si>
    <t>*0.02832</t>
  </si>
  <si>
    <t>SCF/yr</t>
  </si>
  <si>
    <t>*365*1000000</t>
  </si>
  <si>
    <t>Period 2011-2013</t>
  </si>
  <si>
    <t>Kotu</t>
  </si>
  <si>
    <t>NAWEC</t>
  </si>
  <si>
    <t>GBA</t>
  </si>
  <si>
    <t>33/11kv</t>
  </si>
  <si>
    <t>20mva</t>
  </si>
  <si>
    <t>9.4mw</t>
  </si>
  <si>
    <t>6.4mw</t>
  </si>
  <si>
    <t>8 units</t>
  </si>
  <si>
    <t>3,3,3.4,6.4,6.4,6.4,6.4,6.4</t>
  </si>
  <si>
    <t>Brikama  1</t>
  </si>
  <si>
    <t>WCR</t>
  </si>
  <si>
    <t>33kv</t>
  </si>
  <si>
    <t>26mw</t>
  </si>
  <si>
    <t>12.8mw</t>
  </si>
  <si>
    <t>6 units</t>
  </si>
  <si>
    <t>6.5,6.5,6.5,6.5,6.4,6.4</t>
  </si>
  <si>
    <t>Brikama 1</t>
  </si>
  <si>
    <t xml:space="preserve">Total power generation </t>
  </si>
  <si>
    <t>m3/yr</t>
  </si>
  <si>
    <t>tonnes/yr</t>
  </si>
  <si>
    <t>The Gambia; Grid Emission Factor (GEF)</t>
  </si>
  <si>
    <t>Solar and Wind power project</t>
  </si>
  <si>
    <t>Other renewables</t>
  </si>
  <si>
    <t>Other projects</t>
  </si>
  <si>
    <t>1st crediting period</t>
  </si>
  <si>
    <t>2nd or 3rd crediting period</t>
  </si>
  <si>
    <t>Off-grid power (10%)</t>
  </si>
  <si>
    <t>Off-grid emission (0.8 tCO2/MWh)</t>
  </si>
  <si>
    <t>Build Margin excl. off-grid</t>
  </si>
  <si>
    <t>Build Margin incl. off-grid</t>
  </si>
  <si>
    <t>Off-grid power (10% of total) MWh</t>
  </si>
  <si>
    <t>Off-grid emissions (tCO2)</t>
  </si>
  <si>
    <t>Operating Margin excl. Off-grid (tCO2/MWh)</t>
  </si>
  <si>
    <t>Operating Margin incl. Off-grid (tCO2/MWh)</t>
  </si>
  <si>
    <t>Weighted Simple OM 2011-2013 excl. off-grid (tCO2/MWh)</t>
  </si>
  <si>
    <t>Weighted Simple OM 2011-2013 incl. off-grid (tCO2/MWh)</t>
  </si>
  <si>
    <t>Annual geneartion allocation 2011-2013 (%) excl. off-grid</t>
  </si>
  <si>
    <t>Annual geneartion allocation 2011-2013 (%) incl. off-grid</t>
  </si>
  <si>
    <t>Project types</t>
  </si>
  <si>
    <t>The project activity is located in (i) a Least Developed Country (LDC); or (ii) a Small Island Developing States (SIDS) or in (iii) a country with less than 10 registered CDM projects at the starting date of validation?</t>
  </si>
  <si>
    <t>LDC</t>
  </si>
  <si>
    <t>a)</t>
  </si>
  <si>
    <t>b)</t>
  </si>
  <si>
    <t>c)</t>
  </si>
  <si>
    <t>The project activities consist of grid-connected renewable power generation?</t>
  </si>
  <si>
    <t>Is there is a load shedding program in place to compensate the deficit of the generation capacities?</t>
  </si>
  <si>
    <t>Compliance check</t>
  </si>
  <si>
    <t>Result:</t>
  </si>
  <si>
    <t>Emissions per Power Plant [t CO2/Power Plant</t>
  </si>
  <si>
    <t>Net Calorific Values (IPCC Values)</t>
  </si>
  <si>
    <t>Emission Factor Fuel Type (IPCC Values)</t>
  </si>
  <si>
    <t>Energy Conversion Efficiency (in case Option A2 is used under para. 44 of the tool)</t>
  </si>
  <si>
    <t>Emission Factor for each power plant [t CO2/MWh]</t>
  </si>
  <si>
    <t>Fuel Consumption unit</t>
  </si>
  <si>
    <t>Fuel Consumption amount</t>
  </si>
  <si>
    <t>Cummulative shares (%)</t>
  </si>
  <si>
    <t>Share of the power plant's power generation to total generation in the same year (%)</t>
  </si>
  <si>
    <t>Power Generation per plant (MWh)</t>
  </si>
  <si>
    <t>Net Calorific Value (NCV) of the fuels (if not available, IPCC values are used) (GJ/t)</t>
  </si>
  <si>
    <t>Emission Factor (EF) of the fuels (if not available, IPCC values are used) (tCO2/GJ)</t>
  </si>
  <si>
    <t>Unit conversion for natural gas</t>
  </si>
  <si>
    <t>Total Power generation for BM (MWh)</t>
  </si>
  <si>
    <t>Emissions for BM (tCO2)</t>
  </si>
  <si>
    <t>Years</t>
  </si>
  <si>
    <t>Total Yearly Production of Thermal Energy for OM (MWh)</t>
  </si>
  <si>
    <t>Total emissions by thermal power plants for OM (tCO2)</t>
  </si>
  <si>
    <t>BM excl. off-grid (tCO2/MWh)</t>
  </si>
  <si>
    <t>BM incl. off-grid (tCO2/MWh)</t>
  </si>
  <si>
    <t>Crietria to make use of Para. 6.2.4. Option IIb (simplified off-grid inclusion) of the Tool</t>
  </si>
  <si>
    <t>Please see sheet "Step 6 - Combined Margin" for the selection of appropriate project types and relevant CM (CM was calculated incl./excl. of off-grid where appropriate)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</si>
</sst>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0000"/>
    <numFmt numFmtId="166" formatCode="0.0"/>
    <numFmt numFmtId="167" formatCode="0.000"/>
    <numFmt numFmtId="168" formatCode="_(* #,##0_);_(* \(#,##0\);_(* &quot;-&quot;??_);_(@_)"/>
    <numFmt numFmtId="169" formatCode="_(* #,##0.0000_);_(* \(#,##0.0000\);_(* &quot;-&quot;??_);_(@_)"/>
  </numFmts>
  <fonts count="21"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1"/>
      <name val="Calibri"/>
      <family val="2"/>
      <scheme val="minor"/>
    </font>
    <font>
      <b/>
      <sz val="11"/>
      <color theme="0"/>
      <name val="Calibri"/>
      <family val="2"/>
    </font>
    <font>
      <sz val="11"/>
      <name val="Calibri"/>
      <family val="2"/>
      <scheme val="minor"/>
    </font>
    <font>
      <sz val="11"/>
      <color theme="1"/>
      <name val="Arial"/>
      <family val="2"/>
    </font>
    <font>
      <b/>
      <sz val="10"/>
      <name val="Arial"/>
      <family val="2"/>
    </font>
    <font>
      <vertAlign val="subscript"/>
      <sz val="10"/>
      <name val="Arial"/>
      <family val="2"/>
    </font>
    <font>
      <vertAlign val="superscript"/>
      <sz val="10"/>
      <name val="Arial"/>
      <family val="2"/>
    </font>
    <font>
      <sz val="16"/>
      <color theme="3"/>
      <name val="Arial"/>
      <family val="2"/>
    </font>
    <font>
      <sz val="11"/>
      <name val="Arial"/>
      <family val="2"/>
    </font>
    <font>
      <sz val="36"/>
      <name val="Arial"/>
      <family val="2"/>
    </font>
    <font>
      <u/>
      <sz val="11"/>
      <color theme="10"/>
      <name val="Calibri"/>
      <family val="2"/>
    </font>
    <font>
      <sz val="34"/>
      <name val="Arial"/>
      <family val="2"/>
    </font>
    <font>
      <b/>
      <sz val="11"/>
      <color theme="3" tint="-0.249977111117893"/>
      <name val="Calibri"/>
      <family val="2"/>
      <scheme val="minor"/>
    </font>
    <font>
      <sz val="14"/>
      <color theme="0"/>
      <name val="Calibri"/>
      <family val="2"/>
      <scheme val="minor"/>
    </font>
  </fonts>
  <fills count="47">
    <fill>
      <patternFill patternType="none"/>
    </fill>
    <fill>
      <patternFill patternType="gray125"/>
    </fill>
    <fill>
      <patternFill patternType="solid">
        <fgColor rgb="FFFFEB9C"/>
      </patternFill>
    </fill>
    <fill>
      <patternFill patternType="solid">
        <fgColor theme="4"/>
      </patternFill>
    </fill>
    <fill>
      <patternFill patternType="solid">
        <fgColor theme="4" tint="0.59999389629810485"/>
        <bgColor indexed="65"/>
      </patternFill>
    </fill>
    <fill>
      <patternFill patternType="solid">
        <fgColor theme="5"/>
      </patternFill>
    </fill>
    <fill>
      <patternFill patternType="solid">
        <fgColor theme="5" tint="0.59999389629810485"/>
        <bgColor indexed="65"/>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theme="4" tint="0.79998168889431442"/>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8" tint="0.59999389629810485"/>
        <bgColor indexed="65"/>
      </patternFill>
    </fill>
    <fill>
      <patternFill patternType="solid">
        <fgColor theme="2" tint="-0.499984740745262"/>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79998168889431442"/>
        <bgColor indexed="65"/>
      </patternFill>
    </fill>
    <fill>
      <patternFill patternType="solid">
        <fgColor theme="5" tint="-0.249977111117893"/>
        <bgColor indexed="64"/>
      </patternFill>
    </fill>
    <fill>
      <patternFill patternType="solid">
        <fgColor theme="6" tint="0.79998168889431442"/>
        <bgColor indexed="65"/>
      </patternFill>
    </fill>
    <fill>
      <patternFill patternType="solid">
        <fgColor theme="6" tint="-0.249977111117893"/>
        <bgColor indexed="64"/>
      </patternFill>
    </fill>
    <fill>
      <patternFill patternType="solid">
        <fgColor theme="0"/>
        <bgColor indexed="64"/>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39997558519241921"/>
        <bgColor indexed="64"/>
      </patternFill>
    </fill>
    <fill>
      <patternFill patternType="solid">
        <fgColor theme="0" tint="-0.49998474074526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rgb="FF00206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style="medium">
        <color rgb="FFFFFF00"/>
      </left>
      <right style="medium">
        <color rgb="FFFFFF00"/>
      </right>
      <top style="medium">
        <color rgb="FFFFFF00"/>
      </top>
      <bottom/>
      <diagonal/>
    </border>
    <border>
      <left style="medium">
        <color rgb="FFFFFF00"/>
      </left>
      <right style="medium">
        <color rgb="FFFFFF00"/>
      </right>
      <top style="thin">
        <color indexed="64"/>
      </top>
      <bottom style="thin">
        <color indexed="64"/>
      </bottom>
      <diagonal/>
    </border>
    <border>
      <left style="thin">
        <color indexed="64"/>
      </left>
      <right/>
      <top/>
      <bottom/>
      <diagonal/>
    </border>
  </borders>
  <cellStyleXfs count="24">
    <xf numFmtId="0" fontId="0" fillId="0" borderId="0"/>
    <xf numFmtId="0" fontId="2" fillId="2" borderId="0" applyNumberFormat="0" applyBorder="0" applyAlignment="0" applyProtection="0"/>
    <xf numFmtId="0" fontId="5" fillId="3" borderId="0" applyNumberFormat="0" applyBorder="0" applyAlignment="0" applyProtection="0"/>
    <xf numFmtId="0" fontId="1" fillId="4" borderId="0" applyNumberFormat="0" applyBorder="0" applyAlignment="0" applyProtection="0"/>
    <xf numFmtId="0" fontId="5" fillId="5" borderId="0" applyNumberFormat="0" applyBorder="0" applyAlignment="0" applyProtection="0"/>
    <xf numFmtId="0" fontId="1" fillId="6" borderId="0" applyNumberFormat="0" applyBorder="0" applyAlignment="0" applyProtection="0"/>
    <xf numFmtId="0" fontId="5" fillId="7" borderId="0" applyNumberFormat="0" applyBorder="0" applyAlignment="0" applyProtection="0"/>
    <xf numFmtId="0" fontId="1" fillId="8" borderId="0" applyNumberFormat="0" applyBorder="0" applyAlignment="0" applyProtection="0"/>
    <xf numFmtId="0" fontId="5" fillId="9" borderId="0" applyNumberFormat="0" applyBorder="0" applyAlignment="0" applyProtection="0"/>
    <xf numFmtId="0" fontId="6" fillId="0" borderId="0"/>
    <xf numFmtId="0" fontId="1"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6" fillId="0" borderId="0"/>
    <xf numFmtId="0" fontId="17" fillId="0" borderId="0" applyNumberFormat="0" applyFill="0" applyBorder="0" applyAlignment="0" applyProtection="0">
      <alignment vertical="top"/>
      <protection locked="0"/>
    </xf>
    <xf numFmtId="9" fontId="1" fillId="0" borderId="0" applyFont="0" applyFill="0" applyBorder="0" applyAlignment="0" applyProtection="0"/>
    <xf numFmtId="0" fontId="1" fillId="27" borderId="0" applyNumberFormat="0" applyBorder="0" applyAlignment="0" applyProtection="0"/>
    <xf numFmtId="0" fontId="5" fillId="28" borderId="0" applyNumberFormat="0" applyBorder="0" applyAlignment="0" applyProtection="0"/>
    <xf numFmtId="164" fontId="1" fillId="0" borderId="0" applyFont="0" applyFill="0" applyBorder="0" applyAlignment="0" applyProtection="0"/>
  </cellStyleXfs>
  <cellXfs count="183">
    <xf numFmtId="0" fontId="0" fillId="0" borderId="0" xfId="0"/>
    <xf numFmtId="0" fontId="5" fillId="3" borderId="1" xfId="2" applyBorder="1"/>
    <xf numFmtId="0" fontId="5" fillId="7" borderId="1" xfId="6" applyBorder="1"/>
    <xf numFmtId="0" fontId="1" fillId="6" borderId="1" xfId="5" applyBorder="1"/>
    <xf numFmtId="2" fontId="1" fillId="8" borderId="1" xfId="7" applyNumberFormat="1" applyBorder="1"/>
    <xf numFmtId="10" fontId="1" fillId="8" borderId="1" xfId="7" applyNumberFormat="1" applyBorder="1"/>
    <xf numFmtId="10" fontId="1" fillId="4" borderId="1" xfId="3" applyNumberFormat="1" applyBorder="1"/>
    <xf numFmtId="0" fontId="5" fillId="7" borderId="1" xfId="6" applyBorder="1" applyAlignment="1">
      <alignment horizontal="right"/>
    </xf>
    <xf numFmtId="0" fontId="1" fillId="10" borderId="1" xfId="10" applyBorder="1"/>
    <xf numFmtId="0" fontId="5" fillId="21" borderId="1" xfId="8" applyFont="1" applyFill="1" applyBorder="1"/>
    <xf numFmtId="0" fontId="0" fillId="6" borderId="1" xfId="5" applyFont="1" applyBorder="1"/>
    <xf numFmtId="9" fontId="1" fillId="10" borderId="1" xfId="10" applyNumberFormat="1" applyBorder="1"/>
    <xf numFmtId="0" fontId="1" fillId="22" borderId="1" xfId="16" applyBorder="1"/>
    <xf numFmtId="0" fontId="0" fillId="0" borderId="1" xfId="0" applyBorder="1"/>
    <xf numFmtId="0" fontId="3" fillId="5" borderId="1" xfId="4" applyFont="1" applyBorder="1" applyAlignment="1">
      <alignment horizontal="center" vertical="center" wrapText="1"/>
    </xf>
    <xf numFmtId="0" fontId="3" fillId="11" borderId="1" xfId="11" applyFont="1" applyBorder="1" applyAlignment="1">
      <alignment horizontal="center" vertical="center" wrapText="1"/>
    </xf>
    <xf numFmtId="0" fontId="3" fillId="7" borderId="1" xfId="6" applyFont="1" applyBorder="1" applyAlignment="1">
      <alignment horizontal="center" vertical="center" wrapText="1"/>
    </xf>
    <xf numFmtId="0" fontId="3" fillId="19" borderId="1" xfId="6" applyFont="1" applyFill="1" applyBorder="1" applyAlignment="1">
      <alignment horizontal="center" vertical="center" wrapText="1"/>
    </xf>
    <xf numFmtId="0" fontId="8" fillId="19" borderId="1" xfId="6" applyFont="1" applyFill="1" applyBorder="1" applyAlignment="1">
      <alignment horizontal="center" vertical="center" wrapText="1"/>
    </xf>
    <xf numFmtId="0" fontId="3" fillId="3" borderId="1" xfId="2" applyFont="1" applyBorder="1" applyAlignment="1">
      <alignment vertical="center" wrapText="1"/>
    </xf>
    <xf numFmtId="3" fontId="3" fillId="16" borderId="1" xfId="1" applyNumberFormat="1" applyFont="1" applyFill="1" applyBorder="1" applyAlignment="1">
      <alignment horizontal="center" vertical="center" wrapText="1"/>
    </xf>
    <xf numFmtId="0" fontId="3" fillId="13" borderId="1" xfId="13" applyFont="1" applyBorder="1" applyAlignment="1">
      <alignment horizontal="center" vertical="center" wrapText="1"/>
    </xf>
    <xf numFmtId="0" fontId="3" fillId="3" borderId="1" xfId="2" applyFont="1" applyBorder="1" applyAlignment="1">
      <alignment horizontal="center" vertical="center" wrapText="1"/>
    </xf>
    <xf numFmtId="0" fontId="3" fillId="18" borderId="1" xfId="8" applyFont="1" applyFill="1" applyBorder="1" applyAlignment="1">
      <alignment horizontal="center" vertical="center" wrapText="1"/>
    </xf>
    <xf numFmtId="0" fontId="3" fillId="19" borderId="1" xfId="0" applyFont="1" applyFill="1" applyBorder="1" applyAlignment="1">
      <alignment horizontal="center" vertical="center" wrapText="1"/>
    </xf>
    <xf numFmtId="0" fontId="1" fillId="6" borderId="1" xfId="5" applyBorder="1" applyAlignment="1">
      <alignment wrapText="1"/>
    </xf>
    <xf numFmtId="1" fontId="1" fillId="6" borderId="1" xfId="5" applyNumberFormat="1" applyBorder="1" applyAlignment="1">
      <alignment horizontal="right"/>
    </xf>
    <xf numFmtId="0" fontId="1" fillId="6" borderId="1" xfId="5" applyBorder="1" applyAlignment="1">
      <alignment horizontal="left"/>
    </xf>
    <xf numFmtId="0" fontId="1" fillId="6" borderId="1" xfId="5" applyNumberFormat="1" applyBorder="1" applyAlignment="1">
      <alignment horizontal="left"/>
    </xf>
    <xf numFmtId="3" fontId="9" fillId="17" borderId="1" xfId="1" applyNumberFormat="1" applyFont="1" applyFill="1" applyBorder="1" applyAlignment="1">
      <alignment horizontal="center" vertical="center"/>
    </xf>
    <xf numFmtId="165" fontId="5" fillId="12" borderId="1" xfId="12" applyNumberFormat="1" applyBorder="1"/>
    <xf numFmtId="3" fontId="1" fillId="15" borderId="1" xfId="15" applyNumberFormat="1" applyBorder="1"/>
    <xf numFmtId="165" fontId="1" fillId="20" borderId="1" xfId="15" applyNumberFormat="1" applyFill="1" applyBorder="1"/>
    <xf numFmtId="9" fontId="1" fillId="20" borderId="1" xfId="15" applyNumberFormat="1" applyFill="1" applyBorder="1"/>
    <xf numFmtId="1" fontId="1" fillId="6" borderId="1" xfId="5" quotePrefix="1" applyNumberFormat="1" applyBorder="1" applyAlignment="1">
      <alignment horizontal="right"/>
    </xf>
    <xf numFmtId="3" fontId="9" fillId="17" borderId="1" xfId="1" applyNumberFormat="1" applyFont="1" applyFill="1" applyBorder="1" applyAlignment="1">
      <alignment horizontal="right" vertical="center"/>
    </xf>
    <xf numFmtId="0" fontId="1" fillId="6" borderId="1" xfId="5" applyBorder="1" applyAlignment="1">
      <alignment horizontal="left" wrapText="1"/>
    </xf>
    <xf numFmtId="0" fontId="1" fillId="6" borderId="1" xfId="5" applyBorder="1" applyAlignment="1">
      <alignment horizontal="right"/>
    </xf>
    <xf numFmtId="0" fontId="1" fillId="6" borderId="1" xfId="5" applyNumberFormat="1" applyBorder="1" applyAlignment="1">
      <alignment horizontal="right"/>
    </xf>
    <xf numFmtId="0" fontId="1" fillId="6" borderId="1" xfId="5" applyBorder="1" applyAlignment="1">
      <alignment horizontal="right" wrapText="1"/>
    </xf>
    <xf numFmtId="10" fontId="1" fillId="10" borderId="1" xfId="10" applyNumberFormat="1" applyBorder="1"/>
    <xf numFmtId="0" fontId="6" fillId="0" borderId="0" xfId="9"/>
    <xf numFmtId="10" fontId="1" fillId="24" borderId="1" xfId="17" applyNumberFormat="1" applyBorder="1"/>
    <xf numFmtId="165" fontId="1" fillId="24" borderId="1" xfId="17" applyNumberFormat="1" applyBorder="1"/>
    <xf numFmtId="1" fontId="1" fillId="24" borderId="1" xfId="17" applyNumberFormat="1" applyBorder="1"/>
    <xf numFmtId="0" fontId="4" fillId="24" borderId="1" xfId="17" applyFont="1" applyBorder="1"/>
    <xf numFmtId="0" fontId="3" fillId="11" borderId="6" xfId="11" applyFont="1" applyBorder="1"/>
    <xf numFmtId="0" fontId="3" fillId="25" borderId="1" xfId="0" applyFont="1" applyFill="1" applyBorder="1"/>
    <xf numFmtId="3" fontId="1" fillId="10" borderId="1" xfId="10" applyNumberFormat="1" applyBorder="1"/>
    <xf numFmtId="0" fontId="0" fillId="26" borderId="0" xfId="0" applyFill="1"/>
    <xf numFmtId="0" fontId="10" fillId="26" borderId="0" xfId="0" applyFont="1" applyFill="1"/>
    <xf numFmtId="0" fontId="6" fillId="26" borderId="0" xfId="18" applyFont="1" applyFill="1"/>
    <xf numFmtId="0" fontId="6" fillId="26" borderId="0" xfId="18" applyFont="1" applyFill="1" applyBorder="1"/>
    <xf numFmtId="0" fontId="6" fillId="26" borderId="1" xfId="18" applyFont="1" applyFill="1" applyBorder="1"/>
    <xf numFmtId="0" fontId="11" fillId="26" borderId="0" xfId="18" applyFont="1" applyFill="1"/>
    <xf numFmtId="0" fontId="6" fillId="26" borderId="0" xfId="9" applyFont="1" applyFill="1" applyBorder="1" applyAlignment="1">
      <alignment vertical="top" wrapText="1"/>
    </xf>
    <xf numFmtId="0" fontId="6" fillId="26" borderId="0" xfId="18" applyFont="1" applyFill="1" applyAlignment="1">
      <alignment horizontal="left" indent="2"/>
    </xf>
    <xf numFmtId="0" fontId="6" fillId="26" borderId="0" xfId="18" applyFont="1" applyFill="1" applyAlignment="1">
      <alignment horizontal="left"/>
    </xf>
    <xf numFmtId="0" fontId="6" fillId="26" borderId="1" xfId="9" applyFont="1" applyFill="1" applyBorder="1" applyAlignment="1">
      <alignment vertical="top" wrapText="1"/>
    </xf>
    <xf numFmtId="0" fontId="11" fillId="26" borderId="0" xfId="18" applyFont="1" applyFill="1" applyBorder="1"/>
    <xf numFmtId="0" fontId="14" fillId="26" borderId="0" xfId="18" applyFont="1" applyFill="1"/>
    <xf numFmtId="0" fontId="0" fillId="26" borderId="0" xfId="0" applyFill="1" applyBorder="1"/>
    <xf numFmtId="0" fontId="0" fillId="0" borderId="0" xfId="0" applyBorder="1"/>
    <xf numFmtId="15" fontId="6" fillId="26" borderId="1" xfId="18" applyNumberFormat="1" applyFont="1" applyFill="1" applyBorder="1" applyAlignment="1">
      <alignment horizontal="left"/>
    </xf>
    <xf numFmtId="0" fontId="0" fillId="26" borderId="3" xfId="0" applyFill="1" applyBorder="1"/>
    <xf numFmtId="0" fontId="0" fillId="26" borderId="4" xfId="0" applyFill="1" applyBorder="1"/>
    <xf numFmtId="0" fontId="15" fillId="26" borderId="1" xfId="18" applyFont="1" applyFill="1" applyBorder="1" applyAlignment="1">
      <alignment horizontal="left" indent="1"/>
    </xf>
    <xf numFmtId="0" fontId="6" fillId="26" borderId="0" xfId="18" applyFill="1" applyBorder="1"/>
    <xf numFmtId="0" fontId="16" fillId="26" borderId="0" xfId="18" applyFont="1" applyFill="1" applyBorder="1"/>
    <xf numFmtId="0" fontId="0" fillId="26" borderId="7" xfId="0" applyFill="1" applyBorder="1"/>
    <xf numFmtId="0" fontId="0" fillId="26" borderId="8" xfId="0" applyFill="1" applyBorder="1"/>
    <xf numFmtId="0" fontId="0" fillId="0" borderId="8" xfId="0" applyBorder="1"/>
    <xf numFmtId="0" fontId="6" fillId="26" borderId="8" xfId="18" applyFill="1" applyBorder="1"/>
    <xf numFmtId="0" fontId="16" fillId="26" borderId="9" xfId="18" applyFont="1" applyFill="1" applyBorder="1"/>
    <xf numFmtId="0" fontId="0" fillId="26" borderId="13" xfId="0" applyFill="1" applyBorder="1" applyAlignment="1">
      <alignment horizontal="left"/>
    </xf>
    <xf numFmtId="0" fontId="0" fillId="26" borderId="14" xfId="0" applyFill="1" applyBorder="1" applyAlignment="1">
      <alignment horizontal="left"/>
    </xf>
    <xf numFmtId="0" fontId="6" fillId="26" borderId="14" xfId="18" applyFill="1" applyBorder="1" applyAlignment="1">
      <alignment horizontal="left"/>
    </xf>
    <xf numFmtId="0" fontId="18" fillId="26" borderId="15" xfId="18" applyFont="1" applyFill="1" applyBorder="1" applyAlignment="1">
      <alignment horizontal="left"/>
    </xf>
    <xf numFmtId="0" fontId="4" fillId="0" borderId="0" xfId="0" applyFont="1"/>
    <xf numFmtId="0" fontId="1" fillId="10" borderId="1" xfId="10" quotePrefix="1" applyBorder="1"/>
    <xf numFmtId="0" fontId="0" fillId="10" borderId="1" xfId="10" quotePrefix="1" applyFont="1" applyBorder="1"/>
    <xf numFmtId="0" fontId="5" fillId="3" borderId="5" xfId="2" applyBorder="1"/>
    <xf numFmtId="2" fontId="0" fillId="0" borderId="0" xfId="0" applyNumberFormat="1"/>
    <xf numFmtId="3" fontId="1" fillId="4" borderId="1" xfId="3" applyNumberFormat="1" applyBorder="1"/>
    <xf numFmtId="0" fontId="7" fillId="11" borderId="1" xfId="11" applyFont="1" applyBorder="1" applyAlignment="1">
      <alignment horizontal="center" vertical="center" wrapText="1"/>
    </xf>
    <xf numFmtId="165" fontId="9" fillId="12" borderId="1" xfId="12" applyNumberFormat="1" applyFont="1" applyBorder="1"/>
    <xf numFmtId="0" fontId="4" fillId="0" borderId="1" xfId="0" applyFont="1" applyBorder="1" applyAlignment="1">
      <alignment horizontal="center"/>
    </xf>
    <xf numFmtId="0" fontId="6" fillId="0" borderId="0" xfId="18" applyAlignment="1"/>
    <xf numFmtId="0" fontId="3" fillId="5" borderId="6" xfId="4" applyFont="1" applyBorder="1" applyAlignment="1">
      <alignment horizontal="center" vertical="center" wrapText="1"/>
    </xf>
    <xf numFmtId="0" fontId="3" fillId="3" borderId="6" xfId="2" applyFont="1" applyBorder="1" applyAlignment="1">
      <alignment horizontal="center" vertical="center" wrapText="1"/>
    </xf>
    <xf numFmtId="3" fontId="3" fillId="16" borderId="6" xfId="1" applyNumberFormat="1" applyFont="1" applyFill="1" applyBorder="1" applyAlignment="1">
      <alignment horizontal="center" vertical="center" wrapText="1"/>
    </xf>
    <xf numFmtId="0" fontId="3" fillId="18" borderId="6" xfId="8" applyFont="1" applyFill="1" applyBorder="1" applyAlignment="1">
      <alignment horizontal="center" vertical="center" wrapText="1"/>
    </xf>
    <xf numFmtId="0" fontId="3" fillId="13" borderId="6" xfId="13" applyFont="1" applyBorder="1" applyAlignment="1">
      <alignment horizontal="center" vertical="center" wrapText="1"/>
    </xf>
    <xf numFmtId="0" fontId="3" fillId="11" borderId="6" xfId="11" applyFont="1" applyBorder="1" applyAlignment="1">
      <alignment horizontal="center" vertical="center" wrapText="1"/>
    </xf>
    <xf numFmtId="0" fontId="3" fillId="7" borderId="6" xfId="6" applyFont="1" applyBorder="1" applyAlignment="1">
      <alignment horizontal="center" vertical="center" wrapText="1"/>
    </xf>
    <xf numFmtId="0" fontId="3" fillId="19" borderId="6" xfId="0" applyFont="1" applyFill="1" applyBorder="1" applyAlignment="1">
      <alignment horizontal="center" vertical="center" wrapText="1"/>
    </xf>
    <xf numFmtId="0" fontId="3" fillId="19" borderId="6" xfId="6" applyFont="1" applyFill="1" applyBorder="1" applyAlignment="1">
      <alignment horizontal="center" vertical="center" wrapText="1"/>
    </xf>
    <xf numFmtId="0" fontId="8" fillId="19" borderId="6" xfId="6" applyFont="1" applyFill="1" applyBorder="1" applyAlignment="1">
      <alignment horizontal="center" vertical="center" wrapText="1"/>
    </xf>
    <xf numFmtId="0" fontId="1" fillId="8" borderId="1" xfId="7" applyBorder="1"/>
    <xf numFmtId="0" fontId="1" fillId="14" borderId="1" xfId="14" applyBorder="1"/>
    <xf numFmtId="166" fontId="1" fillId="10" borderId="1" xfId="10" applyNumberFormat="1" applyBorder="1"/>
    <xf numFmtId="166" fontId="1" fillId="17" borderId="1" xfId="10" applyNumberFormat="1" applyFill="1" applyBorder="1"/>
    <xf numFmtId="166" fontId="1" fillId="15" borderId="1" xfId="15" applyNumberFormat="1" applyBorder="1"/>
    <xf numFmtId="166" fontId="1" fillId="14" borderId="1" xfId="14" applyNumberFormat="1" applyBorder="1"/>
    <xf numFmtId="166" fontId="5" fillId="28" borderId="1" xfId="22" applyNumberFormat="1" applyBorder="1"/>
    <xf numFmtId="165" fontId="1" fillId="27" borderId="1" xfId="21" applyNumberFormat="1" applyBorder="1"/>
    <xf numFmtId="0" fontId="5" fillId="18" borderId="1" xfId="8" applyFill="1" applyBorder="1" applyAlignment="1">
      <alignment horizontal="center" vertical="center" wrapText="1"/>
    </xf>
    <xf numFmtId="167" fontId="1" fillId="20" borderId="1" xfId="10" applyNumberFormat="1" applyFill="1" applyBorder="1"/>
    <xf numFmtId="9" fontId="1" fillId="20" borderId="1" xfId="20" applyFill="1" applyBorder="1"/>
    <xf numFmtId="9" fontId="0" fillId="0" borderId="0" xfId="20" applyFont="1"/>
    <xf numFmtId="1" fontId="1" fillId="22" borderId="1" xfId="16" applyNumberFormat="1" applyBorder="1"/>
    <xf numFmtId="1" fontId="0" fillId="0" borderId="0" xfId="0" applyNumberFormat="1"/>
    <xf numFmtId="168" fontId="1" fillId="8" borderId="1" xfId="23" applyNumberFormat="1" applyFill="1" applyBorder="1"/>
    <xf numFmtId="0" fontId="5" fillId="31" borderId="1" xfId="2" applyFont="1" applyFill="1" applyBorder="1"/>
    <xf numFmtId="1" fontId="5" fillId="31" borderId="1" xfId="0" applyNumberFormat="1" applyFont="1" applyFill="1" applyBorder="1"/>
    <xf numFmtId="0" fontId="5" fillId="31" borderId="1" xfId="0" applyFont="1" applyFill="1" applyBorder="1"/>
    <xf numFmtId="166" fontId="5" fillId="31" borderId="1" xfId="0" applyNumberFormat="1" applyFont="1" applyFill="1" applyBorder="1"/>
    <xf numFmtId="0" fontId="5" fillId="23" borderId="1" xfId="2" applyFill="1" applyBorder="1" applyAlignment="1">
      <alignment horizontal="center" vertical="center" wrapText="1"/>
    </xf>
    <xf numFmtId="9" fontId="1" fillId="24" borderId="1" xfId="20" applyFill="1" applyBorder="1"/>
    <xf numFmtId="0" fontId="9" fillId="35" borderId="0" xfId="0" applyFont="1" applyFill="1" applyAlignment="1">
      <alignment horizontal="center" vertical="center"/>
    </xf>
    <xf numFmtId="0" fontId="3" fillId="33" borderId="0" xfId="0" applyFont="1" applyFill="1" applyAlignment="1">
      <alignment horizontal="center" vertical="center"/>
    </xf>
    <xf numFmtId="0" fontId="3" fillId="34" borderId="0" xfId="0" applyFont="1" applyFill="1" applyAlignment="1">
      <alignment horizontal="center" vertical="center"/>
    </xf>
    <xf numFmtId="0" fontId="3" fillId="37" borderId="0" xfId="0" applyFont="1" applyFill="1" applyAlignment="1">
      <alignment horizontal="center" vertical="center"/>
    </xf>
    <xf numFmtId="0" fontId="3" fillId="25" borderId="0" xfId="0" applyFont="1" applyFill="1" applyAlignment="1">
      <alignment horizontal="center" vertical="center"/>
    </xf>
    <xf numFmtId="0" fontId="9" fillId="38" borderId="0" xfId="0" applyFont="1" applyFill="1" applyAlignment="1">
      <alignment horizontal="center" vertical="center"/>
    </xf>
    <xf numFmtId="0" fontId="7" fillId="36" borderId="16" xfId="0" applyFont="1" applyFill="1" applyBorder="1" applyAlignment="1">
      <alignment horizontal="center" vertical="center"/>
    </xf>
    <xf numFmtId="0" fontId="7" fillId="30" borderId="16" xfId="0" applyFont="1" applyFill="1" applyBorder="1" applyAlignment="1">
      <alignment horizontal="center" vertical="center"/>
    </xf>
    <xf numFmtId="0" fontId="3" fillId="41" borderId="2" xfId="0" applyFont="1" applyFill="1" applyBorder="1"/>
    <xf numFmtId="165" fontId="5" fillId="31" borderId="4" xfId="0" applyNumberFormat="1" applyFont="1" applyFill="1" applyBorder="1"/>
    <xf numFmtId="165" fontId="5" fillId="19" borderId="4" xfId="0" applyNumberFormat="1" applyFont="1" applyFill="1" applyBorder="1"/>
    <xf numFmtId="165" fontId="7" fillId="39" borderId="17" xfId="0" applyNumberFormat="1" applyFont="1" applyFill="1" applyBorder="1"/>
    <xf numFmtId="0" fontId="9" fillId="20" borderId="4" xfId="0" applyFont="1" applyFill="1" applyBorder="1"/>
    <xf numFmtId="0" fontId="5" fillId="31" borderId="4" xfId="0" applyFont="1" applyFill="1" applyBorder="1"/>
    <xf numFmtId="0" fontId="5" fillId="19" borderId="4" xfId="0" applyFont="1" applyFill="1" applyBorder="1"/>
    <xf numFmtId="0" fontId="9" fillId="20" borderId="3" xfId="0" applyFont="1" applyFill="1" applyBorder="1"/>
    <xf numFmtId="0" fontId="19" fillId="42" borderId="2" xfId="0" applyFont="1" applyFill="1" applyBorder="1"/>
    <xf numFmtId="0" fontId="4" fillId="43" borderId="2" xfId="0" applyFont="1" applyFill="1" applyBorder="1"/>
    <xf numFmtId="166" fontId="6" fillId="26" borderId="1" xfId="18" applyNumberFormat="1" applyFont="1" applyFill="1" applyBorder="1" applyAlignment="1">
      <alignment horizontal="left"/>
    </xf>
    <xf numFmtId="0" fontId="0" fillId="0" borderId="0" xfId="0" applyAlignment="1">
      <alignment horizontal="center"/>
    </xf>
    <xf numFmtId="0" fontId="0" fillId="0" borderId="0" xfId="0" applyAlignment="1">
      <alignment horizontal="center" vertical="center"/>
    </xf>
    <xf numFmtId="0" fontId="0" fillId="20" borderId="0" xfId="0" applyFill="1" applyAlignment="1">
      <alignment horizontal="left" vertical="top"/>
    </xf>
    <xf numFmtId="0" fontId="0" fillId="20" borderId="0" xfId="0" applyFill="1" applyAlignment="1">
      <alignment horizontal="left" vertical="center"/>
    </xf>
    <xf numFmtId="0" fontId="0" fillId="45" borderId="0" xfId="0" applyFill="1" applyAlignment="1">
      <alignment horizontal="left" vertical="top"/>
    </xf>
    <xf numFmtId="0" fontId="0" fillId="45" borderId="0" xfId="0" applyFill="1" applyAlignment="1">
      <alignment horizontal="left" vertical="center" wrapText="1"/>
    </xf>
    <xf numFmtId="0" fontId="0" fillId="45" borderId="0" xfId="0" applyFill="1" applyAlignment="1">
      <alignment horizontal="left" vertical="center"/>
    </xf>
    <xf numFmtId="0" fontId="3" fillId="44" borderId="0" xfId="0" applyFont="1" applyFill="1" applyAlignment="1">
      <alignment vertical="center"/>
    </xf>
    <xf numFmtId="0" fontId="0" fillId="36" borderId="0" xfId="0" applyFill="1" applyAlignment="1">
      <alignment horizontal="center" vertical="center"/>
    </xf>
    <xf numFmtId="0" fontId="0" fillId="36" borderId="0" xfId="0" applyFill="1" applyAlignment="1">
      <alignment horizontal="center"/>
    </xf>
    <xf numFmtId="0" fontId="0" fillId="36" borderId="0" xfId="0" applyFill="1"/>
    <xf numFmtId="0" fontId="0" fillId="20" borderId="18" xfId="0" applyFill="1" applyBorder="1" applyAlignment="1">
      <alignment horizontal="left" vertical="center" wrapText="1"/>
    </xf>
    <xf numFmtId="0" fontId="0" fillId="45" borderId="18" xfId="0" applyFill="1" applyBorder="1" applyAlignment="1">
      <alignment horizontal="center" vertical="center"/>
    </xf>
    <xf numFmtId="0" fontId="0" fillId="45" borderId="18" xfId="0" applyFill="1" applyBorder="1" applyAlignment="1">
      <alignment horizontal="center"/>
    </xf>
    <xf numFmtId="0" fontId="5" fillId="44" borderId="0" xfId="0" applyFont="1" applyFill="1" applyAlignment="1">
      <alignment horizontal="center" vertical="center"/>
    </xf>
    <xf numFmtId="0" fontId="0" fillId="45" borderId="0" xfId="0" applyFill="1" applyAlignment="1">
      <alignment horizontal="center" vertical="top"/>
    </xf>
    <xf numFmtId="0" fontId="0" fillId="20" borderId="0" xfId="0" applyFill="1" applyAlignment="1">
      <alignment horizontal="center" vertical="top"/>
    </xf>
    <xf numFmtId="0" fontId="3" fillId="46" borderId="0" xfId="0" applyFont="1" applyFill="1" applyAlignment="1">
      <alignment horizontal="center" vertical="center"/>
    </xf>
    <xf numFmtId="0" fontId="5" fillId="34" borderId="0" xfId="0" applyFont="1" applyFill="1"/>
    <xf numFmtId="0" fontId="3" fillId="3" borderId="1" xfId="2" applyFont="1" applyBorder="1"/>
    <xf numFmtId="0" fontId="3" fillId="29" borderId="1" xfId="2" applyFont="1" applyFill="1" applyBorder="1"/>
    <xf numFmtId="169" fontId="3" fillId="3" borderId="1" xfId="23" applyNumberFormat="1" applyFont="1" applyFill="1" applyBorder="1" applyAlignment="1">
      <alignment horizontal="center" vertical="center" wrapText="1"/>
    </xf>
    <xf numFmtId="169" fontId="4" fillId="30" borderId="1" xfId="23" applyNumberFormat="1" applyFont="1" applyFill="1" applyBorder="1"/>
    <xf numFmtId="0" fontId="5" fillId="3" borderId="1" xfId="2" applyFont="1" applyBorder="1"/>
    <xf numFmtId="0" fontId="5" fillId="3" borderId="1" xfId="2" applyFont="1" applyBorder="1" applyAlignment="1">
      <alignment horizontal="center" vertical="center" wrapText="1"/>
    </xf>
    <xf numFmtId="0" fontId="5" fillId="29" borderId="1" xfId="2" applyFont="1" applyFill="1" applyBorder="1"/>
    <xf numFmtId="0" fontId="0" fillId="30" borderId="1" xfId="0" applyFont="1" applyFill="1" applyBorder="1"/>
    <xf numFmtId="0" fontId="17" fillId="26" borderId="12" xfId="19" applyFill="1" applyBorder="1" applyAlignment="1" applyProtection="1">
      <alignment horizontal="left"/>
    </xf>
    <xf numFmtId="0" fontId="17" fillId="26" borderId="11" xfId="19" applyFill="1" applyBorder="1" applyAlignment="1" applyProtection="1">
      <alignment horizontal="left"/>
    </xf>
    <xf numFmtId="0" fontId="17" fillId="26" borderId="10" xfId="19" applyFill="1" applyBorder="1" applyAlignment="1" applyProtection="1">
      <alignment horizontal="left"/>
    </xf>
    <xf numFmtId="0" fontId="5" fillId="44" borderId="0" xfId="0" applyFont="1" applyFill="1" applyAlignment="1">
      <alignment horizontal="left" vertical="center" wrapText="1"/>
    </xf>
    <xf numFmtId="0" fontId="20" fillId="44" borderId="0" xfId="0" applyFont="1" applyFill="1" applyAlignment="1">
      <alignment horizontal="left" vertical="center"/>
    </xf>
    <xf numFmtId="0" fontId="2" fillId="2" borderId="1" xfId="1" applyBorder="1" applyAlignment="1">
      <alignment horizontal="center"/>
    </xf>
    <xf numFmtId="0" fontId="3" fillId="23" borderId="2" xfId="4" applyFont="1" applyFill="1" applyBorder="1" applyAlignment="1">
      <alignment horizontal="left" vertical="center" wrapText="1"/>
    </xf>
    <xf numFmtId="0" fontId="3" fillId="23" borderId="4" xfId="4" applyFont="1" applyFill="1" applyBorder="1" applyAlignment="1">
      <alignment horizontal="left" vertical="center" wrapText="1"/>
    </xf>
    <xf numFmtId="0" fontId="3" fillId="23" borderId="3" xfId="4" applyFont="1" applyFill="1" applyBorder="1" applyAlignment="1">
      <alignment horizontal="left" vertical="center" wrapText="1"/>
    </xf>
    <xf numFmtId="0" fontId="3" fillId="29" borderId="2" xfId="2" applyFont="1" applyFill="1" applyBorder="1" applyAlignment="1">
      <alignment horizontal="left" wrapText="1"/>
    </xf>
    <xf numFmtId="0" fontId="3" fillId="29" borderId="4" xfId="2" applyFont="1" applyFill="1" applyBorder="1" applyAlignment="1">
      <alignment horizontal="left" wrapText="1"/>
    </xf>
    <xf numFmtId="0" fontId="3" fillId="29" borderId="3" xfId="2" applyFont="1" applyFill="1" applyBorder="1" applyAlignment="1">
      <alignment horizontal="left" wrapText="1"/>
    </xf>
    <xf numFmtId="0" fontId="3" fillId="3" borderId="2" xfId="2" applyFont="1" applyBorder="1" applyAlignment="1">
      <alignment horizontal="left"/>
    </xf>
    <xf numFmtId="0" fontId="3" fillId="3" borderId="4" xfId="2" applyFont="1" applyBorder="1" applyAlignment="1">
      <alignment horizontal="left"/>
    </xf>
    <xf numFmtId="0" fontId="3" fillId="3" borderId="3" xfId="2" applyFont="1" applyBorder="1" applyAlignment="1">
      <alignment horizontal="left"/>
    </xf>
    <xf numFmtId="0" fontId="3" fillId="37" borderId="0" xfId="0" applyFont="1" applyFill="1" applyAlignment="1">
      <alignment horizontal="center"/>
    </xf>
    <xf numFmtId="0" fontId="3" fillId="32" borderId="0" xfId="0" applyFont="1" applyFill="1" applyAlignment="1">
      <alignment horizontal="center"/>
    </xf>
    <xf numFmtId="0" fontId="3" fillId="40" borderId="0" xfId="0" applyFont="1" applyFill="1" applyAlignment="1">
      <alignment horizontal="center" vertical="center"/>
    </xf>
  </cellXfs>
  <cellStyles count="24">
    <cellStyle name="20 % - Accent1" xfId="10" builtinId="30"/>
    <cellStyle name="20 % - Accent2" xfId="16" builtinId="34"/>
    <cellStyle name="20 % - Accent3" xfId="17" builtinId="38"/>
    <cellStyle name="20 % - Accent5" xfId="7" builtinId="46"/>
    <cellStyle name="40 % - Accent1" xfId="3" builtinId="31"/>
    <cellStyle name="40 % - Accent2" xfId="5" builtinId="35"/>
    <cellStyle name="40 % - Accent4" xfId="14" builtinId="43"/>
    <cellStyle name="40 % - Accent5" xfId="15" builtinId="47"/>
    <cellStyle name="40 % - Accent6" xfId="21" builtinId="51"/>
    <cellStyle name="60 % - Accent3" xfId="12" builtinId="40"/>
    <cellStyle name="60 % - Accent6" xfId="22" builtinId="52"/>
    <cellStyle name="Accent1" xfId="2" builtinId="29"/>
    <cellStyle name="Accent2" xfId="4" builtinId="33"/>
    <cellStyle name="Accent3" xfId="11" builtinId="37"/>
    <cellStyle name="Accent4" xfId="13" builtinId="41"/>
    <cellStyle name="Accent5" xfId="6" builtinId="45"/>
    <cellStyle name="Accent6" xfId="8" builtinId="49"/>
    <cellStyle name="Lien hypertexte" xfId="19" builtinId="8"/>
    <cellStyle name="Milliers" xfId="23" builtinId="3"/>
    <cellStyle name="Neutre" xfId="1" builtinId="28"/>
    <cellStyle name="Normal" xfId="0" builtinId="0"/>
    <cellStyle name="Normal 2" xfId="9"/>
    <cellStyle name="Normal 3" xfId="18"/>
    <cellStyle name="Pourcentage" xfId="20" builtinId="5"/>
  </cellStyles>
  <dxfs count="2">
    <dxf>
      <fill>
        <patternFill>
          <bgColor theme="6" tint="-0.24994659260841701"/>
        </patternFill>
      </fill>
    </dxf>
    <dxf>
      <fill>
        <patternFill>
          <bgColor theme="5" tint="-0.24994659260841701"/>
        </patternFill>
      </fill>
    </dxf>
  </dxfs>
  <tableStyles count="0" defaultTableStyle="TableStyleMedium9" defaultPivotStyle="PivotStyleLight16"/>
  <colors>
    <mruColors>
      <color rgb="FFD0A800"/>
      <color rgb="FFEFF505"/>
      <color rgb="FFFFC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0</xdr:col>
      <xdr:colOff>268940</xdr:colOff>
      <xdr:row>4</xdr:row>
      <xdr:rowOff>89643</xdr:rowOff>
    </xdr:from>
    <xdr:to>
      <xdr:col>7</xdr:col>
      <xdr:colOff>96444</xdr:colOff>
      <xdr:row>4</xdr:row>
      <xdr:rowOff>403357</xdr:rowOff>
    </xdr:to>
    <xdr:sp macro="" textlink="">
      <xdr:nvSpPr>
        <xdr:cNvPr id="2" name="Text Box 2"/>
        <xdr:cNvSpPr txBox="1">
          <a:spLocks noChangeArrowheads="1"/>
        </xdr:cNvSpPr>
      </xdr:nvSpPr>
      <xdr:spPr bwMode="auto">
        <a:xfrm>
          <a:off x="268940" y="851643"/>
          <a:ext cx="4094704" cy="104164"/>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Funded by:</a:t>
          </a:r>
          <a:endParaRPr lang="en-US" sz="1200">
            <a:solidFill>
              <a:schemeClr val="tx1"/>
            </a:solidFill>
            <a:effectLst/>
            <a:latin typeface="Calibri"/>
            <a:ea typeface="Calibri"/>
            <a:cs typeface="Times New Roman"/>
          </a:endParaRPr>
        </a:p>
      </xdr:txBody>
    </xdr:sp>
    <xdr:clientData/>
  </xdr:twoCellAnchor>
  <xdr:twoCellAnchor>
    <xdr:from>
      <xdr:col>10</xdr:col>
      <xdr:colOff>292857</xdr:colOff>
      <xdr:row>4</xdr:row>
      <xdr:rowOff>101708</xdr:rowOff>
    </xdr:from>
    <xdr:to>
      <xdr:col>12</xdr:col>
      <xdr:colOff>311765</xdr:colOff>
      <xdr:row>4</xdr:row>
      <xdr:rowOff>403357</xdr:rowOff>
    </xdr:to>
    <xdr:sp macro="" textlink="">
      <xdr:nvSpPr>
        <xdr:cNvPr id="3" name="Text Box 2"/>
        <xdr:cNvSpPr txBox="1">
          <a:spLocks noChangeArrowheads="1"/>
        </xdr:cNvSpPr>
      </xdr:nvSpPr>
      <xdr:spPr bwMode="auto">
        <a:xfrm>
          <a:off x="6388857" y="863708"/>
          <a:ext cx="1238108" cy="92099"/>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200" b="1">
              <a:solidFill>
                <a:schemeClr val="tx1"/>
              </a:solidFill>
              <a:effectLst/>
              <a:latin typeface="Calibri"/>
              <a:ea typeface="Calibri"/>
              <a:cs typeface="Times New Roman"/>
            </a:rPr>
            <a:t>Developed</a:t>
          </a:r>
          <a:r>
            <a:rPr lang="en-GB" sz="1200" b="1" baseline="0">
              <a:solidFill>
                <a:schemeClr val="tx1"/>
              </a:solidFill>
              <a:effectLst/>
              <a:latin typeface="Calibri"/>
              <a:ea typeface="Calibri"/>
              <a:cs typeface="Times New Roman"/>
            </a:rPr>
            <a:t> </a:t>
          </a:r>
          <a:r>
            <a:rPr lang="en-GB" sz="1200" b="1">
              <a:solidFill>
                <a:schemeClr val="tx1"/>
              </a:solidFill>
              <a:effectLst/>
              <a:latin typeface="Calibri"/>
              <a:ea typeface="Calibri"/>
              <a:cs typeface="Times New Roman"/>
            </a:rPr>
            <a:t>by:</a:t>
          </a:r>
          <a:endParaRPr lang="en-US" sz="1200">
            <a:solidFill>
              <a:schemeClr val="tx1"/>
            </a:solidFill>
            <a:effectLst/>
            <a:latin typeface="Calibri"/>
            <a:ea typeface="Calibri"/>
            <a:cs typeface="Times New Roman"/>
          </a:endParaRPr>
        </a:p>
      </xdr:txBody>
    </xdr:sp>
    <xdr:clientData/>
  </xdr:twoCellAnchor>
  <xdr:twoCellAnchor>
    <xdr:from>
      <xdr:col>11</xdr:col>
      <xdr:colOff>54668</xdr:colOff>
      <xdr:row>4</xdr:row>
      <xdr:rowOff>198236</xdr:rowOff>
    </xdr:from>
    <xdr:to>
      <xdr:col>13</xdr:col>
      <xdr:colOff>160842</xdr:colOff>
      <xdr:row>4</xdr:row>
      <xdr:rowOff>816334</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0268" y="950711"/>
          <a:ext cx="1325374" cy="0"/>
        </a:xfrm>
        <a:prstGeom prst="rect">
          <a:avLst/>
        </a:prstGeom>
        <a:noFill/>
        <a:ln>
          <a:noFill/>
        </a:ln>
      </xdr:spPr>
    </xdr:pic>
    <xdr:clientData/>
  </xdr:twoCellAnchor>
  <xdr:twoCellAnchor editAs="oneCell">
    <xdr:from>
      <xdr:col>6</xdr:col>
      <xdr:colOff>57150</xdr:colOff>
      <xdr:row>4</xdr:row>
      <xdr:rowOff>276225</xdr:rowOff>
    </xdr:from>
    <xdr:to>
      <xdr:col>7</xdr:col>
      <xdr:colOff>331470</xdr:colOff>
      <xdr:row>4</xdr:row>
      <xdr:rowOff>956945</xdr:rowOff>
    </xdr:to>
    <xdr:pic>
      <xdr:nvPicPr>
        <xdr:cNvPr id="5" name="Picture 4" descr="C:\Users\bhoushyani\Desktop\UNEP logo.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14750" y="952500"/>
          <a:ext cx="883920" cy="4445"/>
        </a:xfrm>
        <a:prstGeom prst="rect">
          <a:avLst/>
        </a:prstGeom>
        <a:noFill/>
        <a:ln>
          <a:noFill/>
        </a:ln>
      </xdr:spPr>
    </xdr:pic>
    <xdr:clientData/>
  </xdr:twoCellAnchor>
  <xdr:twoCellAnchor editAs="oneCell">
    <xdr:from>
      <xdr:col>8</xdr:col>
      <xdr:colOff>552451</xdr:colOff>
      <xdr:row>4</xdr:row>
      <xdr:rowOff>276226</xdr:rowOff>
    </xdr:from>
    <xdr:to>
      <xdr:col>9</xdr:col>
      <xdr:colOff>405766</xdr:colOff>
      <xdr:row>4</xdr:row>
      <xdr:rowOff>919164</xdr:rowOff>
    </xdr:to>
    <xdr:pic>
      <xdr:nvPicPr>
        <xdr:cNvPr id="6" name="Picture 5" descr="C:\Users\bhoushyani\Desktop\ACAD logo.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29251" y="952501"/>
          <a:ext cx="462915" cy="0"/>
        </a:xfrm>
        <a:prstGeom prst="rect">
          <a:avLst/>
        </a:prstGeom>
        <a:noFill/>
        <a:ln>
          <a:noFill/>
        </a:ln>
      </xdr:spPr>
    </xdr:pic>
    <xdr:clientData/>
  </xdr:twoCellAnchor>
  <xdr:twoCellAnchor>
    <xdr:from>
      <xdr:col>8</xdr:col>
      <xdr:colOff>342900</xdr:colOff>
      <xdr:row>4</xdr:row>
      <xdr:rowOff>609600</xdr:rowOff>
    </xdr:from>
    <xdr:to>
      <xdr:col>9</xdr:col>
      <xdr:colOff>323850</xdr:colOff>
      <xdr:row>4</xdr:row>
      <xdr:rowOff>923314</xdr:rowOff>
    </xdr:to>
    <xdr:sp macro="" textlink="">
      <xdr:nvSpPr>
        <xdr:cNvPr id="7" name="Text Box 2"/>
        <xdr:cNvSpPr txBox="1">
          <a:spLocks noChangeArrowheads="1"/>
        </xdr:cNvSpPr>
      </xdr:nvSpPr>
      <xdr:spPr bwMode="auto">
        <a:xfrm>
          <a:off x="5219700" y="952500"/>
          <a:ext cx="590550" cy="0"/>
        </a:xfrm>
        <a:prstGeom prst="rect">
          <a:avLst/>
        </a:prstGeom>
        <a:noFill/>
        <a:ln w="9525">
          <a:noFill/>
          <a:miter lim="800000"/>
          <a:headEnd/>
          <a:tailEnd/>
        </a:ln>
      </xdr:spPr>
      <xdr:txBody>
        <a:bodyPr rot="0" vert="horz" wrap="square" lIns="91440" tIns="45720" rIns="91440" bIns="45720" anchor="t" anchorCtr="0">
          <a:noAutofit/>
        </a:bodyPr>
        <a:lstStyle/>
        <a:p>
          <a:pPr algn="just">
            <a:lnSpc>
              <a:spcPts val="1400"/>
            </a:lnSpc>
            <a:spcAft>
              <a:spcPts val="0"/>
            </a:spcAft>
          </a:pPr>
          <a:r>
            <a:rPr lang="en-GB" sz="1000" b="1">
              <a:solidFill>
                <a:schemeClr val="tx1">
                  <a:lumMod val="50000"/>
                  <a:lumOff val="50000"/>
                </a:schemeClr>
              </a:solidFill>
              <a:effectLst/>
              <a:latin typeface="Calibri"/>
              <a:ea typeface="Calibri"/>
              <a:cs typeface="Times New Roman"/>
            </a:rPr>
            <a:t>ACAD</a:t>
          </a:r>
          <a:endParaRPr lang="en-US" sz="1000">
            <a:solidFill>
              <a:schemeClr val="tx1">
                <a:lumMod val="50000"/>
                <a:lumOff val="50000"/>
              </a:schemeClr>
            </a:solidFill>
            <a:effectLst/>
            <a:latin typeface="Calibri"/>
            <a:ea typeface="Calibri"/>
            <a:cs typeface="Times New Roman"/>
          </a:endParaRPr>
        </a:p>
      </xdr:txBody>
    </xdr:sp>
    <xdr:clientData/>
  </xdr:twoCellAnchor>
  <xdr:twoCellAnchor editAs="oneCell">
    <xdr:from>
      <xdr:col>13</xdr:col>
      <xdr:colOff>409575</xdr:colOff>
      <xdr:row>4</xdr:row>
      <xdr:rowOff>571500</xdr:rowOff>
    </xdr:from>
    <xdr:to>
      <xdr:col>16</xdr:col>
      <xdr:colOff>36013</xdr:colOff>
      <xdr:row>4</xdr:row>
      <xdr:rowOff>815309</xdr:rowOff>
    </xdr:to>
    <xdr:pic>
      <xdr:nvPicPr>
        <xdr:cNvPr id="8" name="Picture 7" descr="ecosur afrique"/>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34375" y="952500"/>
          <a:ext cx="1455238" cy="0"/>
        </a:xfrm>
        <a:prstGeom prst="rect">
          <a:avLst/>
        </a:prstGeom>
        <a:noFill/>
        <a:ln>
          <a:noFill/>
        </a:ln>
      </xdr:spPr>
    </xdr:pic>
    <xdr:clientData/>
  </xdr:twoCellAnchor>
  <xdr:twoCellAnchor editAs="oneCell">
    <xdr:from>
      <xdr:col>7</xdr:col>
      <xdr:colOff>519112</xdr:colOff>
      <xdr:row>4</xdr:row>
      <xdr:rowOff>261657</xdr:rowOff>
    </xdr:from>
    <xdr:to>
      <xdr:col>8</xdr:col>
      <xdr:colOff>266700</xdr:colOff>
      <xdr:row>4</xdr:row>
      <xdr:rowOff>962025</xdr:rowOff>
    </xdr:to>
    <xdr:pic>
      <xdr:nvPicPr>
        <xdr:cNvPr id="9" name="irc_mi" descr="http://na.unep.net/images/unep_col.jpg"/>
        <xdr:cNvPicPr>
          <a:picLocks noChangeAspect="1" noChangeArrowheads="1"/>
        </xdr:cNvPicPr>
      </xdr:nvPicPr>
      <xdr:blipFill>
        <a:blip xmlns:r="http://schemas.openxmlformats.org/officeDocument/2006/relationships" r:embed="rId5" cstate="print"/>
        <a:srcRect/>
        <a:stretch>
          <a:fillRect/>
        </a:stretch>
      </xdr:blipFill>
      <xdr:spPr bwMode="auto">
        <a:xfrm>
          <a:off x="4786312" y="956982"/>
          <a:ext cx="357188" cy="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190498</xdr:colOff>
      <xdr:row>0</xdr:row>
      <xdr:rowOff>95248</xdr:rowOff>
    </xdr:from>
    <xdr:to>
      <xdr:col>13</xdr:col>
      <xdr:colOff>323849</xdr:colOff>
      <xdr:row>22</xdr:row>
      <xdr:rowOff>95249</xdr:rowOff>
    </xdr:to>
    <xdr:pic>
      <xdr:nvPicPr>
        <xdr:cNvPr id="3" name="Image 2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8" y="95248"/>
          <a:ext cx="8058151" cy="419100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cdm.unfccc.int/methodologies/PAmethodologies/tools/am-tool-07-v4.0.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38"/>
  <sheetViews>
    <sheetView tabSelected="1" zoomScaleNormal="100" workbookViewId="0">
      <selection activeCell="H9" sqref="H9"/>
    </sheetView>
  </sheetViews>
  <sheetFormatPr baseColWidth="10" defaultColWidth="9.140625" defaultRowHeight="15" x14ac:dyDescent="0.25"/>
  <cols>
    <col min="1" max="1" width="4.5703125" style="49" customWidth="1"/>
    <col min="2" max="2" width="5.5703125" style="49" customWidth="1"/>
    <col min="3" max="3" width="6.42578125" style="49" customWidth="1"/>
    <col min="4" max="4" width="13.7109375" style="49" hidden="1" customWidth="1"/>
    <col min="5" max="6" width="0" style="49" hidden="1" customWidth="1"/>
    <col min="7" max="7" width="9.140625" style="49"/>
    <col min="8" max="8" width="12.7109375" style="49" customWidth="1"/>
    <col min="9" max="16384" width="9.140625" style="49"/>
  </cols>
  <sheetData>
    <row r="3" spans="1:26" ht="42" x14ac:dyDescent="0.55000000000000004">
      <c r="B3" s="77" t="s">
        <v>139</v>
      </c>
      <c r="C3" s="76"/>
      <c r="D3" s="75"/>
      <c r="E3" s="75"/>
      <c r="F3" s="75"/>
      <c r="G3" s="75"/>
      <c r="H3" s="75"/>
      <c r="I3" s="75"/>
      <c r="J3" s="75"/>
      <c r="K3" s="75"/>
      <c r="L3" s="75"/>
      <c r="M3" s="75"/>
      <c r="N3" s="75"/>
      <c r="O3" s="75"/>
      <c r="P3" s="75"/>
      <c r="Q3" s="75"/>
      <c r="R3" s="75"/>
      <c r="S3" s="75"/>
      <c r="T3" s="75"/>
      <c r="U3" s="75"/>
      <c r="V3" s="75"/>
      <c r="W3" s="75"/>
      <c r="X3" s="74"/>
      <c r="Y3" s="61"/>
      <c r="Z3" s="61"/>
    </row>
    <row r="4" spans="1:26" x14ac:dyDescent="0.25">
      <c r="B4" s="165" t="s">
        <v>111</v>
      </c>
      <c r="C4" s="166"/>
      <c r="D4" s="166"/>
      <c r="E4" s="166"/>
      <c r="F4" s="166"/>
      <c r="G4" s="166"/>
      <c r="H4" s="166"/>
      <c r="I4" s="166"/>
      <c r="J4" s="166"/>
      <c r="K4" s="166"/>
      <c r="L4" s="166"/>
      <c r="M4" s="166"/>
      <c r="N4" s="166"/>
      <c r="O4" s="166"/>
      <c r="P4" s="166"/>
      <c r="Q4" s="166"/>
      <c r="R4" s="166"/>
      <c r="S4" s="166"/>
      <c r="T4" s="166"/>
      <c r="U4" s="166"/>
      <c r="V4" s="166"/>
      <c r="W4" s="166"/>
      <c r="X4" s="167"/>
      <c r="Y4" s="61"/>
      <c r="Z4" s="61"/>
    </row>
    <row r="5" spans="1:26" ht="78" customHeight="1" x14ac:dyDescent="0.55000000000000004">
      <c r="B5" s="73"/>
      <c r="C5" s="72"/>
      <c r="D5" s="70"/>
      <c r="E5" s="70"/>
      <c r="F5" s="70"/>
      <c r="G5" s="70"/>
      <c r="H5" s="70"/>
      <c r="I5" s="70"/>
      <c r="J5" s="70"/>
      <c r="K5" s="70"/>
      <c r="L5" s="70"/>
      <c r="M5" s="70"/>
      <c r="N5" s="70"/>
      <c r="O5" s="70"/>
      <c r="P5" s="70"/>
      <c r="Q5" s="70"/>
      <c r="R5" s="70"/>
      <c r="S5" s="70"/>
      <c r="T5" s="70"/>
      <c r="U5" s="71"/>
      <c r="V5" s="70"/>
      <c r="W5" s="70"/>
      <c r="X5" s="69"/>
      <c r="Y5" s="61"/>
      <c r="Z5" s="61"/>
    </row>
    <row r="6" spans="1:26" ht="21.75" customHeight="1" x14ac:dyDescent="0.55000000000000004">
      <c r="B6" s="68"/>
      <c r="C6" s="67"/>
      <c r="D6" s="61"/>
      <c r="E6" s="61"/>
      <c r="F6" s="61"/>
      <c r="G6" s="61"/>
      <c r="H6" s="61"/>
      <c r="I6" s="61"/>
      <c r="J6" s="61"/>
      <c r="K6" s="61"/>
      <c r="L6" s="61"/>
      <c r="M6" s="61"/>
      <c r="N6" s="61"/>
      <c r="O6" s="61"/>
      <c r="P6" s="61"/>
      <c r="Q6" s="61"/>
      <c r="R6" s="61"/>
      <c r="S6" s="61"/>
      <c r="T6" s="61"/>
      <c r="U6" s="62"/>
      <c r="V6" s="61"/>
      <c r="W6" s="61"/>
      <c r="X6" s="61"/>
      <c r="Y6" s="61"/>
      <c r="Z6" s="61"/>
    </row>
    <row r="8" spans="1:26" x14ac:dyDescent="0.25">
      <c r="B8" s="66" t="s">
        <v>110</v>
      </c>
      <c r="C8" s="65"/>
      <c r="D8" s="65"/>
      <c r="E8" s="65"/>
      <c r="F8" s="65"/>
      <c r="G8" s="64"/>
      <c r="H8" s="137">
        <v>1</v>
      </c>
    </row>
    <row r="9" spans="1:26" x14ac:dyDescent="0.25">
      <c r="B9" s="66" t="s">
        <v>109</v>
      </c>
      <c r="C9" s="65"/>
      <c r="D9" s="65"/>
      <c r="E9" s="65"/>
      <c r="F9" s="65"/>
      <c r="G9" s="64"/>
      <c r="H9" s="63">
        <v>41894</v>
      </c>
    </row>
    <row r="11" spans="1:26" ht="20.25" x14ac:dyDescent="0.3">
      <c r="B11" s="60" t="s">
        <v>108</v>
      </c>
    </row>
    <row r="12" spans="1:26" x14ac:dyDescent="0.25">
      <c r="B12" s="49" t="s">
        <v>107</v>
      </c>
      <c r="I12" s="49" t="s">
        <v>106</v>
      </c>
    </row>
    <row r="13" spans="1:26" x14ac:dyDescent="0.25">
      <c r="B13" s="49" t="s">
        <v>105</v>
      </c>
      <c r="I13" s="61" t="s">
        <v>104</v>
      </c>
      <c r="J13" s="61"/>
      <c r="K13" s="61"/>
      <c r="L13" s="61"/>
      <c r="M13" s="61"/>
      <c r="N13" s="61"/>
      <c r="O13" s="61"/>
    </row>
    <row r="14" spans="1:26" x14ac:dyDescent="0.25">
      <c r="A14" s="49" t="s">
        <v>103</v>
      </c>
      <c r="B14" s="49" t="s">
        <v>102</v>
      </c>
      <c r="I14" s="61" t="s">
        <v>101</v>
      </c>
      <c r="J14" s="61"/>
      <c r="K14" s="61"/>
      <c r="L14" s="61"/>
      <c r="M14" s="61"/>
      <c r="N14" s="61"/>
      <c r="O14" s="61"/>
    </row>
    <row r="15" spans="1:26" x14ac:dyDescent="0.25">
      <c r="B15" s="49" t="s">
        <v>100</v>
      </c>
      <c r="I15" s="62" t="s">
        <v>99</v>
      </c>
      <c r="J15" s="61"/>
      <c r="K15" s="61"/>
      <c r="L15" s="61"/>
      <c r="M15" s="61"/>
      <c r="N15" s="61"/>
      <c r="O15" s="61"/>
    </row>
    <row r="16" spans="1:26" x14ac:dyDescent="0.25">
      <c r="B16" s="49" t="s">
        <v>98</v>
      </c>
      <c r="I16" s="62" t="s">
        <v>97</v>
      </c>
      <c r="J16" s="61"/>
      <c r="K16" s="61"/>
      <c r="L16" s="61"/>
      <c r="M16" s="61"/>
      <c r="N16" s="61"/>
      <c r="O16" s="61"/>
    </row>
    <row r="17" spans="2:15" x14ac:dyDescent="0.25">
      <c r="B17" s="49" t="s">
        <v>96</v>
      </c>
      <c r="I17" s="62" t="s">
        <v>95</v>
      </c>
      <c r="J17" s="61"/>
      <c r="K17" s="61"/>
      <c r="L17" s="61"/>
      <c r="M17" s="61"/>
      <c r="N17" s="61"/>
      <c r="O17" s="61"/>
    </row>
    <row r="18" spans="2:15" x14ac:dyDescent="0.25">
      <c r="B18" s="49" t="s">
        <v>94</v>
      </c>
      <c r="I18" s="62" t="s">
        <v>93</v>
      </c>
      <c r="J18" s="61"/>
      <c r="K18" s="61"/>
      <c r="L18" s="61"/>
      <c r="M18" s="61"/>
      <c r="N18" s="61"/>
      <c r="O18" s="61"/>
    </row>
    <row r="21" spans="2:15" ht="20.25" x14ac:dyDescent="0.3">
      <c r="B21" s="60" t="s">
        <v>92</v>
      </c>
      <c r="C21" s="51"/>
      <c r="D21" s="51"/>
      <c r="E21" s="51"/>
      <c r="F21" s="51"/>
      <c r="G21" s="51"/>
      <c r="H21" s="51"/>
      <c r="I21" s="51"/>
      <c r="J21" s="51"/>
      <c r="K21" s="51"/>
    </row>
    <row r="22" spans="2:15" x14ac:dyDescent="0.25">
      <c r="B22" s="59" t="s">
        <v>91</v>
      </c>
      <c r="C22" s="52"/>
      <c r="D22" s="52"/>
      <c r="E22" s="52"/>
      <c r="F22" s="52"/>
      <c r="G22" s="52"/>
      <c r="H22" s="51"/>
      <c r="I22" s="51"/>
      <c r="J22" s="51"/>
      <c r="K22" s="51"/>
    </row>
    <row r="23" spans="2:15" ht="8.25" customHeight="1" x14ac:dyDescent="0.25">
      <c r="B23" s="55"/>
      <c r="C23" s="55"/>
      <c r="D23" s="55"/>
      <c r="E23" s="55"/>
      <c r="F23" s="55"/>
      <c r="G23" s="55"/>
      <c r="H23" s="51"/>
      <c r="I23" s="51"/>
      <c r="J23" s="51"/>
      <c r="K23" s="51"/>
    </row>
    <row r="24" spans="2:15" x14ac:dyDescent="0.25">
      <c r="B24" s="54" t="s">
        <v>90</v>
      </c>
      <c r="C24" s="51"/>
      <c r="D24" s="55"/>
      <c r="E24" s="55"/>
      <c r="F24" s="55"/>
      <c r="G24" s="55"/>
      <c r="H24" s="51"/>
      <c r="I24" s="51"/>
      <c r="J24" s="51"/>
      <c r="K24" s="51"/>
    </row>
    <row r="25" spans="2:15" x14ac:dyDescent="0.25">
      <c r="B25" s="53" t="s">
        <v>62</v>
      </c>
      <c r="C25" s="52" t="s">
        <v>89</v>
      </c>
      <c r="D25" s="57" t="s">
        <v>88</v>
      </c>
      <c r="E25" s="55"/>
      <c r="F25" s="55"/>
      <c r="G25" s="57" t="s">
        <v>88</v>
      </c>
      <c r="H25" s="55"/>
      <c r="I25" s="51"/>
      <c r="J25" s="51"/>
      <c r="K25" s="51"/>
    </row>
    <row r="26" spans="2:15" x14ac:dyDescent="0.25">
      <c r="B26" s="58" t="s">
        <v>62</v>
      </c>
      <c r="C26" s="55" t="s">
        <v>87</v>
      </c>
      <c r="D26" s="57" t="s">
        <v>86</v>
      </c>
      <c r="E26" s="55"/>
      <c r="F26" s="55"/>
      <c r="G26" s="57" t="s">
        <v>86</v>
      </c>
      <c r="H26" s="55"/>
      <c r="I26" s="51"/>
      <c r="J26" s="51"/>
      <c r="K26" s="51"/>
    </row>
    <row r="27" spans="2:15" x14ac:dyDescent="0.25">
      <c r="B27" s="58" t="s">
        <v>62</v>
      </c>
      <c r="C27" s="55" t="s">
        <v>85</v>
      </c>
      <c r="D27" s="57" t="s">
        <v>84</v>
      </c>
      <c r="E27" s="55"/>
      <c r="F27" s="55"/>
      <c r="G27" s="57" t="s">
        <v>83</v>
      </c>
      <c r="H27" s="55"/>
      <c r="I27" s="51"/>
      <c r="J27" s="51"/>
      <c r="K27" s="51"/>
    </row>
    <row r="28" spans="2:15" x14ac:dyDescent="0.25">
      <c r="B28" s="58" t="s">
        <v>62</v>
      </c>
      <c r="C28" s="55" t="s">
        <v>82</v>
      </c>
      <c r="D28" s="57" t="s">
        <v>81</v>
      </c>
      <c r="E28" s="55"/>
      <c r="F28" s="55"/>
      <c r="G28" s="57" t="s">
        <v>80</v>
      </c>
      <c r="H28" s="55"/>
      <c r="I28" s="51"/>
      <c r="J28" s="51"/>
      <c r="K28" s="51"/>
    </row>
    <row r="29" spans="2:15" x14ac:dyDescent="0.25">
      <c r="B29" s="53" t="s">
        <v>62</v>
      </c>
      <c r="C29" s="52" t="s">
        <v>79</v>
      </c>
      <c r="D29" s="57" t="s">
        <v>78</v>
      </c>
      <c r="E29" s="51"/>
      <c r="F29" s="51"/>
      <c r="G29" s="57" t="s">
        <v>77</v>
      </c>
      <c r="H29" s="51"/>
      <c r="I29" s="50"/>
      <c r="J29" s="50"/>
      <c r="K29" s="50"/>
    </row>
    <row r="30" spans="2:15" ht="9.75" customHeight="1" x14ac:dyDescent="0.25">
      <c r="B30" s="51"/>
      <c r="C30" s="55"/>
      <c r="D30" s="56"/>
      <c r="E30" s="55"/>
      <c r="F30" s="55"/>
      <c r="G30" s="56"/>
      <c r="H30" s="55"/>
      <c r="I30" s="51"/>
      <c r="J30" s="51"/>
      <c r="K30" s="51"/>
    </row>
    <row r="31" spans="2:15" x14ac:dyDescent="0.25">
      <c r="B31" s="54" t="s">
        <v>76</v>
      </c>
      <c r="C31" s="54"/>
      <c r="D31" s="56"/>
      <c r="E31" s="55"/>
      <c r="F31" s="55"/>
      <c r="G31" s="56"/>
      <c r="H31" s="55"/>
      <c r="I31" s="51"/>
      <c r="J31" s="51"/>
      <c r="K31" s="51"/>
    </row>
    <row r="32" spans="2:15" x14ac:dyDescent="0.25">
      <c r="B32" s="53" t="s">
        <v>62</v>
      </c>
      <c r="C32" s="52" t="s">
        <v>75</v>
      </c>
      <c r="D32" s="57" t="s">
        <v>74</v>
      </c>
      <c r="E32" s="55"/>
      <c r="F32" s="55"/>
      <c r="G32" s="57" t="s">
        <v>73</v>
      </c>
      <c r="H32" s="55"/>
      <c r="I32" s="51"/>
      <c r="J32" s="51"/>
      <c r="K32" s="50"/>
    </row>
    <row r="33" spans="2:11" x14ac:dyDescent="0.25">
      <c r="B33" s="53" t="s">
        <v>62</v>
      </c>
      <c r="C33" s="52" t="s">
        <v>72</v>
      </c>
      <c r="D33" s="57" t="s">
        <v>71</v>
      </c>
      <c r="E33" s="55"/>
      <c r="F33" s="55"/>
      <c r="G33" s="57" t="s">
        <v>70</v>
      </c>
      <c r="H33" s="55"/>
      <c r="I33" s="51"/>
      <c r="J33" s="51"/>
      <c r="K33" s="51"/>
    </row>
    <row r="34" spans="2:11" x14ac:dyDescent="0.25">
      <c r="B34" s="53" t="s">
        <v>62</v>
      </c>
      <c r="C34" s="52" t="s">
        <v>69</v>
      </c>
      <c r="D34" s="57" t="s">
        <v>68</v>
      </c>
      <c r="E34" s="55"/>
      <c r="F34" s="55"/>
      <c r="G34" s="57" t="s">
        <v>67</v>
      </c>
      <c r="H34" s="55"/>
      <c r="I34" s="51"/>
      <c r="J34" s="51"/>
      <c r="K34" s="51"/>
    </row>
    <row r="35" spans="2:11" ht="15.75" x14ac:dyDescent="0.3">
      <c r="B35" s="53" t="s">
        <v>62</v>
      </c>
      <c r="C35" s="52" t="s">
        <v>66</v>
      </c>
      <c r="D35" s="57" t="s">
        <v>65</v>
      </c>
      <c r="E35" s="55"/>
      <c r="F35" s="55"/>
      <c r="G35" s="57" t="s">
        <v>64</v>
      </c>
      <c r="H35" s="55"/>
      <c r="I35" s="50"/>
      <c r="J35" s="50"/>
      <c r="K35" s="50"/>
    </row>
    <row r="36" spans="2:11" ht="9.75" customHeight="1" x14ac:dyDescent="0.25">
      <c r="B36" s="51"/>
      <c r="C36" s="55"/>
      <c r="D36" s="56"/>
      <c r="E36" s="55"/>
      <c r="F36" s="55"/>
      <c r="G36" s="56"/>
      <c r="H36" s="55"/>
      <c r="I36" s="50"/>
      <c r="J36" s="50"/>
      <c r="K36" s="50"/>
    </row>
    <row r="37" spans="2:11" x14ac:dyDescent="0.25">
      <c r="B37" s="54" t="s">
        <v>63</v>
      </c>
      <c r="C37" s="54"/>
      <c r="D37" s="51"/>
      <c r="E37" s="51"/>
      <c r="F37" s="51"/>
      <c r="G37" s="51"/>
      <c r="H37" s="51"/>
      <c r="I37" s="50"/>
      <c r="J37" s="50"/>
      <c r="K37" s="50"/>
    </row>
    <row r="38" spans="2:11" x14ac:dyDescent="0.25">
      <c r="B38" s="53" t="s">
        <v>62</v>
      </c>
      <c r="C38" s="52" t="s">
        <v>61</v>
      </c>
      <c r="D38" s="51" t="s">
        <v>60</v>
      </c>
      <c r="E38" s="51"/>
      <c r="F38" s="51"/>
      <c r="G38" s="51" t="s">
        <v>59</v>
      </c>
      <c r="H38" s="51"/>
      <c r="I38" s="50"/>
      <c r="J38" s="50"/>
      <c r="K38" s="50"/>
    </row>
  </sheetData>
  <mergeCells count="1">
    <mergeCell ref="B4:X4"/>
  </mergeCells>
  <hyperlinks>
    <hyperlink ref="B4" r:id="rId1" display="Based on UNFCCC Methodology, &quot;Tool to calculate the emission factor for an electricity system&quot; (Version 4): "/>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U16" sqref="U16"/>
    </sheetView>
  </sheetViews>
  <sheetFormatPr baseColWidth="10" defaultColWidth="9.140625" defaultRowHeight="15" x14ac:dyDescent="0.25"/>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A6" sqref="A6"/>
    </sheetView>
  </sheetViews>
  <sheetFormatPr baseColWidth="10" defaultColWidth="9.140625" defaultRowHeight="15" x14ac:dyDescent="0.25"/>
  <cols>
    <col min="3" max="3" width="89.85546875" bestFit="1" customWidth="1"/>
    <col min="4" max="4" width="42.28515625" customWidth="1"/>
    <col min="5" max="5" width="11.7109375" customWidth="1"/>
    <col min="6" max="6" width="26.28515625" bestFit="1" customWidth="1"/>
  </cols>
  <sheetData>
    <row r="2" spans="1:6" ht="18.75" x14ac:dyDescent="0.25">
      <c r="A2" s="169" t="s">
        <v>187</v>
      </c>
      <c r="B2" s="169"/>
      <c r="C2" s="169"/>
      <c r="D2" s="152" t="s">
        <v>165</v>
      </c>
      <c r="E2" s="145" t="s">
        <v>12</v>
      </c>
      <c r="F2" s="78"/>
    </row>
    <row r="3" spans="1:6" ht="46.5" customHeight="1" x14ac:dyDescent="0.25">
      <c r="A3" s="153" t="s">
        <v>160</v>
      </c>
      <c r="B3" s="142"/>
      <c r="C3" s="143" t="s">
        <v>158</v>
      </c>
      <c r="D3" s="150" t="s">
        <v>34</v>
      </c>
      <c r="E3" s="146" t="s">
        <v>159</v>
      </c>
      <c r="F3" s="139"/>
    </row>
    <row r="4" spans="1:6" ht="67.5" customHeight="1" x14ac:dyDescent="0.25">
      <c r="A4" s="154" t="s">
        <v>161</v>
      </c>
      <c r="B4" s="140"/>
      <c r="C4" s="141" t="s">
        <v>163</v>
      </c>
      <c r="D4" s="149" t="s">
        <v>188</v>
      </c>
      <c r="E4" s="147"/>
      <c r="F4" s="138"/>
    </row>
    <row r="5" spans="1:6" x14ac:dyDescent="0.25">
      <c r="A5" s="153" t="s">
        <v>162</v>
      </c>
      <c r="B5" s="142"/>
      <c r="C5" s="144" t="s">
        <v>164</v>
      </c>
      <c r="D5" s="151" t="s">
        <v>34</v>
      </c>
      <c r="E5" s="148"/>
    </row>
    <row r="6" spans="1:6" ht="42.75" customHeight="1" x14ac:dyDescent="0.25">
      <c r="A6" s="155" t="s">
        <v>166</v>
      </c>
      <c r="B6" s="168" t="str">
        <f>IF(D3="Y",(IF(D5="Y","Off-grid power generators can be included in Combined Margin calculation using paragraph 6.2.4. of the tool for grid connected renewable power generation for the first crediting period; Please see sheet Step 6 for further details.","Off-grid cannot be included in Combined Margin calculations using paragraph 6.2.4. of the tool")),"Off-grid cannot be included in Combined Margin calculations using paragraph 6.2.4. of the tool")</f>
        <v>Off-grid power generators can be included in Combined Margin calculation using paragraph 6.2.4. of the tool for grid connected renewable power generation for the first crediting period; Please see sheet Step 6 for further details.</v>
      </c>
      <c r="C6" s="168"/>
      <c r="D6" s="168"/>
      <c r="E6" s="145"/>
    </row>
  </sheetData>
  <mergeCells count="2">
    <mergeCell ref="B6:D6"/>
    <mergeCell ref="A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workbookViewId="0">
      <selection activeCell="G6" sqref="G6"/>
    </sheetView>
  </sheetViews>
  <sheetFormatPr baseColWidth="10" defaultColWidth="9.140625" defaultRowHeight="15" x14ac:dyDescent="0.25"/>
  <cols>
    <col min="1" max="1" width="30" bestFit="1" customWidth="1"/>
    <col min="2" max="2" width="14.42578125" customWidth="1"/>
    <col min="3" max="3" width="12.140625" customWidth="1"/>
    <col min="4" max="7" width="12.5703125" bestFit="1" customWidth="1"/>
    <col min="8" max="8" width="16.7109375" bestFit="1" customWidth="1"/>
    <col min="9" max="9" width="12.5703125" bestFit="1" customWidth="1"/>
    <col min="12" max="12" width="12.5703125" bestFit="1" customWidth="1"/>
  </cols>
  <sheetData>
    <row r="1" spans="1:16" x14ac:dyDescent="0.25">
      <c r="B1" s="2">
        <v>2009</v>
      </c>
      <c r="C1" s="2">
        <v>2010</v>
      </c>
      <c r="D1" s="2">
        <v>2011</v>
      </c>
      <c r="E1" s="2">
        <v>2012</v>
      </c>
      <c r="F1" s="2">
        <v>2013</v>
      </c>
      <c r="G1" s="7" t="s">
        <v>25</v>
      </c>
      <c r="H1" s="41"/>
      <c r="L1" s="87"/>
      <c r="M1" s="87"/>
      <c r="N1" s="87"/>
      <c r="O1" s="87"/>
      <c r="P1" s="87"/>
    </row>
    <row r="2" spans="1:16" x14ac:dyDescent="0.25">
      <c r="A2" s="2" t="s">
        <v>136</v>
      </c>
      <c r="B2" s="112">
        <f>SUMIFS('Step 4 Simple Operating Margin'!$W$3:$W$15,'Step 4 Simple Operating Margin'!$F$3:$F$15,"=Y",'Step 4 Simple Operating Margin'!$U$3:$U$15,'Step 3 LCMR'!B1)</f>
        <v>225545</v>
      </c>
      <c r="C2" s="112">
        <f>SUMIFS('Step 4 Simple Operating Margin'!$W$3:$W$15,'Step 4 Simple Operating Margin'!$F$3:$F$15,"=Y",'Step 4 Simple Operating Margin'!$U$3:$U$15,'Step 3 LCMR'!C1)</f>
        <v>235227</v>
      </c>
      <c r="D2" s="112">
        <f>SUMIFS('Step 4 Simple Operating Margin'!$W$3:$W$15,'Step 4 Simple Operating Margin'!$F$3:$F$15,"=Y",'Step 4 Simple Operating Margin'!$U$3:$U$15,'Step 3 LCMR'!D1)</f>
        <v>212658</v>
      </c>
      <c r="E2" s="112">
        <f>SUMIFS('Step 4 Simple Operating Margin'!$W$3:$W$15,'Step 4 Simple Operating Margin'!$F$3:$F$15,"=Y",'Step 4 Simple Operating Margin'!$U$3:$U$15,'Step 3 LCMR'!E1)</f>
        <v>206030</v>
      </c>
      <c r="F2" s="112">
        <f>SUMIFS('Step 4 Simple Operating Margin'!$W$3:$W$15,'Step 4 Simple Operating Margin'!$F$3:$F$15,"=Y",'Step 4 Simple Operating Margin'!$U$3:$U$15,'Step 3 LCMR'!F1)</f>
        <v>204397.32</v>
      </c>
      <c r="G2" s="112">
        <f>AVERAGE($B$2:$F$2)</f>
        <v>216771.46400000001</v>
      </c>
      <c r="H2" s="41"/>
      <c r="L2" s="41"/>
      <c r="M2" s="41"/>
      <c r="N2" s="41"/>
      <c r="O2" s="41"/>
      <c r="P2" s="41"/>
    </row>
    <row r="3" spans="1:16" x14ac:dyDescent="0.25">
      <c r="A3" s="2" t="s">
        <v>1</v>
      </c>
      <c r="B3" s="98">
        <f>SUMIFS('Step 4 Simple Operating Margin'!$W$3:$W$15,'Step 4 Simple Operating Margin'!$F$3:$F$15,"=Y",'Step 4 Simple Operating Margin'!$V$3:$V$15,"=Y",'Step 4 Simple Operating Margin'!$U$3:$U$15,'Step 3 LCMR'!B1)</f>
        <v>0</v>
      </c>
      <c r="C3" s="98">
        <f>SUMIFS('Step 4 Simple Operating Margin'!$W$3:$W$15,'Step 4 Simple Operating Margin'!$F$3:$F$15,"=Y",'Step 4 Simple Operating Margin'!$V$3:$V$15,"=Y",'Step 4 Simple Operating Margin'!$U$3:$U$15,'Step 3 LCMR'!C1)</f>
        <v>0</v>
      </c>
      <c r="D3" s="98">
        <f>SUMIFS('Step 4 Simple Operating Margin'!$W$3:$W$15,'Step 4 Simple Operating Margin'!$F$3:$F$15,"=Y",'Step 4 Simple Operating Margin'!$V$3:$V$15,"=Y",'Step 4 Simple Operating Margin'!$U$3:$U$15,'Step 3 LCMR'!D1)</f>
        <v>0</v>
      </c>
      <c r="E3" s="98">
        <f>SUMIFS('Step 4 Simple Operating Margin'!$W$3:$W$15,'Step 4 Simple Operating Margin'!$F$3:$F$15,"=Y",'Step 4 Simple Operating Margin'!$V$3:$V$15,"=Y",'Step 4 Simple Operating Margin'!$U$3:$U$15,'Step 3 LCMR'!E1)</f>
        <v>0</v>
      </c>
      <c r="F3" s="98">
        <f>SUMIFS('Step 4 Simple Operating Margin'!$W$3:$W$15,'Step 4 Simple Operating Margin'!$F$3:$F$15,"=Y",'Step 4 Simple Operating Margin'!$V$3:$V$15,"=Y",'Step 4 Simple Operating Margin'!$U$3:$U$15,'Step 3 LCMR'!F1)</f>
        <v>0</v>
      </c>
      <c r="G3" s="4">
        <f>AVERAGE($B$3:$F$3)</f>
        <v>0</v>
      </c>
      <c r="H3" s="41"/>
    </row>
    <row r="4" spans="1:16" x14ac:dyDescent="0.25">
      <c r="A4" s="2" t="s">
        <v>2</v>
      </c>
      <c r="B4" s="5">
        <f t="shared" ref="B4:C4" si="0">IF($D$2=0,"",($D$3/$D$2))</f>
        <v>0</v>
      </c>
      <c r="C4" s="5">
        <f t="shared" si="0"/>
        <v>0</v>
      </c>
      <c r="D4" s="5">
        <f>IF($D$2=0,"",($D$3/$D$2))</f>
        <v>0</v>
      </c>
      <c r="E4" s="5">
        <f>IF($E$2=0,"",($E$3/$E$2))</f>
        <v>0</v>
      </c>
      <c r="F4" s="5">
        <f>IF($F$2=0,"",($F$3/$F$2))</f>
        <v>0</v>
      </c>
      <c r="G4" s="5">
        <f>IF($G$2="","",($G$3/$G$2))</f>
        <v>0</v>
      </c>
      <c r="H4" s="41"/>
      <c r="L4" s="82"/>
      <c r="M4" s="82"/>
    </row>
    <row r="5" spans="1:16" x14ac:dyDescent="0.25">
      <c r="L5" s="82"/>
    </row>
    <row r="6" spans="1:16" x14ac:dyDescent="0.25">
      <c r="A6" s="1" t="s">
        <v>3</v>
      </c>
      <c r="B6" s="1"/>
      <c r="C6" s="1"/>
      <c r="D6" s="6">
        <f>SUM($B$3:$F$3)/SUM($B$2:$F$2)</f>
        <v>0</v>
      </c>
      <c r="E6" s="170" t="s">
        <v>57</v>
      </c>
      <c r="F6" s="170"/>
      <c r="G6" s="86" t="str">
        <f>IF($D$6&lt;0.5,"YES","NO")</f>
        <v>YES</v>
      </c>
      <c r="H6" t="str">
        <f>IF(G6="YES","","USE AVERAGE OM")</f>
        <v/>
      </c>
    </row>
    <row r="9" spans="1:16" x14ac:dyDescent="0.25">
      <c r="A9" s="41"/>
      <c r="B9" s="41"/>
      <c r="C9" s="41"/>
    </row>
    <row r="10" spans="1:16" x14ac:dyDescent="0.25">
      <c r="A10" s="41"/>
      <c r="B10" s="41"/>
      <c r="C10" s="41"/>
    </row>
    <row r="11" spans="1:16" x14ac:dyDescent="0.25">
      <c r="A11" s="41"/>
      <c r="B11" s="41"/>
      <c r="C11" s="41"/>
    </row>
    <row r="12" spans="1:16" x14ac:dyDescent="0.25">
      <c r="A12" s="41"/>
      <c r="B12" s="41"/>
      <c r="C12" s="41"/>
    </row>
    <row r="13" spans="1:16" x14ac:dyDescent="0.25">
      <c r="A13" s="41"/>
      <c r="B13" s="41"/>
      <c r="C13" s="41"/>
    </row>
    <row r="14" spans="1:16" x14ac:dyDescent="0.25">
      <c r="A14" s="41"/>
      <c r="B14" s="41"/>
      <c r="C14" s="41"/>
    </row>
    <row r="15" spans="1:16" x14ac:dyDescent="0.25">
      <c r="A15" s="41"/>
      <c r="B15" s="41"/>
      <c r="C15" s="41"/>
    </row>
    <row r="16" spans="1:16" x14ac:dyDescent="0.25">
      <c r="A16" s="41"/>
      <c r="B16" s="41"/>
      <c r="C16" s="41"/>
    </row>
    <row r="17" spans="1:3" x14ac:dyDescent="0.25">
      <c r="A17" s="41"/>
      <c r="B17" s="41"/>
      <c r="C17" s="41"/>
    </row>
    <row r="18" spans="1:3" x14ac:dyDescent="0.25">
      <c r="A18" s="41"/>
      <c r="B18" s="41"/>
      <c r="C18" s="41"/>
    </row>
    <row r="19" spans="1:3" x14ac:dyDescent="0.25">
      <c r="A19" s="41"/>
      <c r="B19" s="41"/>
      <c r="C19" s="41"/>
    </row>
    <row r="20" spans="1:3" x14ac:dyDescent="0.25">
      <c r="A20" s="41"/>
      <c r="B20" s="41"/>
      <c r="C20" s="41"/>
    </row>
    <row r="21" spans="1:3" x14ac:dyDescent="0.25">
      <c r="A21" s="41"/>
      <c r="B21" s="41"/>
      <c r="C21" s="41"/>
    </row>
    <row r="22" spans="1:3" x14ac:dyDescent="0.25">
      <c r="A22" s="41"/>
      <c r="B22" s="41"/>
      <c r="C22" s="41"/>
    </row>
    <row r="23" spans="1:3" x14ac:dyDescent="0.25">
      <c r="A23" s="41"/>
      <c r="B23" s="41"/>
      <c r="C23" s="41"/>
    </row>
  </sheetData>
  <mergeCells count="1">
    <mergeCell ref="E6:F6"/>
  </mergeCells>
  <conditionalFormatting sqref="G6">
    <cfRule type="expression" dxfId="1" priority="1">
      <formula>$G$6="NO"</formula>
    </cfRule>
    <cfRule type="expression" dxfId="0" priority="2">
      <formula>$G$6="YES"</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
  <sheetViews>
    <sheetView zoomScale="70" zoomScaleNormal="70" workbookViewId="0">
      <pane xSplit="3" ySplit="2" topLeftCell="Z3" activePane="bottomRight" state="frozen"/>
      <selection pane="topRight" activeCell="D1" sqref="D1"/>
      <selection pane="bottomLeft" activeCell="A3" sqref="A3"/>
      <selection pane="bottomRight" activeCell="AL13" sqref="AL13"/>
    </sheetView>
  </sheetViews>
  <sheetFormatPr baseColWidth="10" defaultColWidth="9.140625" defaultRowHeight="15" x14ac:dyDescent="0.25"/>
  <cols>
    <col min="1" max="1" width="11.7109375" customWidth="1"/>
    <col min="2" max="2" width="8.42578125" customWidth="1"/>
    <col min="3" max="23" width="11.7109375" customWidth="1"/>
    <col min="24" max="24" width="14.42578125" customWidth="1"/>
    <col min="25" max="25" width="12.85546875" customWidth="1"/>
    <col min="26" max="26" width="17.5703125" customWidth="1"/>
    <col min="27" max="27" width="17.140625" customWidth="1"/>
    <col min="28" max="28" width="14.7109375" customWidth="1"/>
    <col min="29" max="29" width="14" customWidth="1"/>
    <col min="30" max="30" width="13.140625" customWidth="1"/>
    <col min="31" max="31" width="11.7109375" customWidth="1"/>
    <col min="32" max="32" width="15.85546875" customWidth="1"/>
    <col min="34" max="34" width="75.28515625" bestFit="1" customWidth="1"/>
    <col min="38" max="38" width="17.42578125" customWidth="1"/>
  </cols>
  <sheetData>
    <row r="1" spans="1:38" ht="90" customHeight="1" x14ac:dyDescent="0.25">
      <c r="A1" s="171" t="s">
        <v>43</v>
      </c>
      <c r="B1" s="172"/>
      <c r="C1" s="172"/>
      <c r="D1" s="172"/>
      <c r="E1" s="172"/>
      <c r="F1" s="172"/>
      <c r="G1" s="172"/>
      <c r="H1" s="172"/>
      <c r="I1" s="172"/>
      <c r="J1" s="172"/>
      <c r="K1" s="172"/>
      <c r="L1" s="172"/>
      <c r="M1" s="172"/>
      <c r="N1" s="172"/>
      <c r="O1" s="172"/>
      <c r="P1" s="172"/>
      <c r="Q1" s="172"/>
      <c r="R1" s="172"/>
      <c r="S1" s="172"/>
      <c r="T1" s="172"/>
      <c r="U1" s="172"/>
      <c r="V1" s="173"/>
      <c r="W1" s="19" t="s">
        <v>176</v>
      </c>
      <c r="X1" s="20" t="s">
        <v>173</v>
      </c>
      <c r="Y1" s="20" t="s">
        <v>172</v>
      </c>
      <c r="Z1" s="23" t="s">
        <v>177</v>
      </c>
      <c r="AA1" s="21" t="s">
        <v>178</v>
      </c>
      <c r="AB1" s="15" t="s">
        <v>171</v>
      </c>
      <c r="AC1" s="16" t="s">
        <v>167</v>
      </c>
      <c r="AD1" s="17" t="s">
        <v>168</v>
      </c>
      <c r="AE1" s="17" t="s">
        <v>169</v>
      </c>
      <c r="AF1" s="17" t="s">
        <v>170</v>
      </c>
    </row>
    <row r="2" spans="1:38" ht="75" x14ac:dyDescent="0.25">
      <c r="A2" s="14" t="s">
        <v>10</v>
      </c>
      <c r="B2" s="14" t="s">
        <v>4</v>
      </c>
      <c r="C2" s="14" t="s">
        <v>5</v>
      </c>
      <c r="D2" s="14" t="s">
        <v>6</v>
      </c>
      <c r="E2" s="14" t="s">
        <v>7</v>
      </c>
      <c r="F2" s="14" t="s">
        <v>13</v>
      </c>
      <c r="G2" s="14" t="s">
        <v>14</v>
      </c>
      <c r="H2" s="14" t="s">
        <v>15</v>
      </c>
      <c r="I2" s="14" t="s">
        <v>16</v>
      </c>
      <c r="J2" s="14" t="s">
        <v>17</v>
      </c>
      <c r="K2" s="14" t="s">
        <v>18</v>
      </c>
      <c r="L2" s="14" t="s">
        <v>44</v>
      </c>
      <c r="M2" s="14" t="s">
        <v>8</v>
      </c>
      <c r="N2" s="14" t="s">
        <v>9</v>
      </c>
      <c r="O2" s="14" t="s">
        <v>19</v>
      </c>
      <c r="P2" s="14" t="s">
        <v>20</v>
      </c>
      <c r="Q2" s="14" t="s">
        <v>21</v>
      </c>
      <c r="R2" s="14" t="s">
        <v>22</v>
      </c>
      <c r="S2" s="14" t="s">
        <v>23</v>
      </c>
      <c r="T2" s="14" t="s">
        <v>24</v>
      </c>
      <c r="U2" s="14" t="s">
        <v>33</v>
      </c>
      <c r="V2" s="14" t="s">
        <v>46</v>
      </c>
      <c r="W2" s="22" t="s">
        <v>42</v>
      </c>
      <c r="X2" s="20" t="s">
        <v>37</v>
      </c>
      <c r="Y2" s="20" t="s">
        <v>45</v>
      </c>
      <c r="Z2" s="23" t="s">
        <v>38</v>
      </c>
      <c r="AA2" s="106" t="s">
        <v>40</v>
      </c>
      <c r="AB2" s="84" t="s">
        <v>39</v>
      </c>
      <c r="AC2" s="16" t="s">
        <v>41</v>
      </c>
      <c r="AD2" s="24" t="s">
        <v>35</v>
      </c>
      <c r="AE2" s="17" t="s">
        <v>26</v>
      </c>
      <c r="AF2" s="18" t="s">
        <v>28</v>
      </c>
      <c r="AH2" s="47" t="s">
        <v>58</v>
      </c>
    </row>
    <row r="3" spans="1:38" ht="23.25" customHeight="1" x14ac:dyDescent="0.25">
      <c r="A3" s="13" t="s">
        <v>11</v>
      </c>
      <c r="B3" s="13">
        <v>981</v>
      </c>
      <c r="C3" s="36" t="s">
        <v>119</v>
      </c>
      <c r="D3" s="25" t="s">
        <v>120</v>
      </c>
      <c r="E3" s="25" t="s">
        <v>121</v>
      </c>
      <c r="F3" s="25" t="s">
        <v>34</v>
      </c>
      <c r="G3" s="25" t="s">
        <v>36</v>
      </c>
      <c r="H3" s="25" t="s">
        <v>122</v>
      </c>
      <c r="I3" s="25" t="s">
        <v>123</v>
      </c>
      <c r="J3" s="99" t="str">
        <f t="shared" ref="J3:J15" si="0">IF(C3="","",IF(K3="Diesel","Thermal",IF(K3="Oil","Thermal",IF(K3="Natural Gas","Thermal",IF(K3="Coal","Thermal",IF(K3="Hydro","Hydro",""))))))</f>
        <v>Thermal</v>
      </c>
      <c r="K3" s="12" t="s">
        <v>0</v>
      </c>
      <c r="L3" s="26">
        <v>1981</v>
      </c>
      <c r="M3" s="27" t="s">
        <v>124</v>
      </c>
      <c r="N3" s="28" t="s">
        <v>125</v>
      </c>
      <c r="O3" s="26">
        <v>1990</v>
      </c>
      <c r="P3" s="38">
        <v>12.9</v>
      </c>
      <c r="Q3" s="37" t="s">
        <v>126</v>
      </c>
      <c r="R3" s="39" t="s">
        <v>127</v>
      </c>
      <c r="S3" s="27" t="s">
        <v>36</v>
      </c>
      <c r="T3" s="3" t="s">
        <v>36</v>
      </c>
      <c r="U3" s="12">
        <v>2009</v>
      </c>
      <c r="V3" s="10" t="str">
        <f t="shared" ref="V3:V15" si="1">IF($C3="","",IF($J3="Thermal","N","Y"))</f>
        <v>N</v>
      </c>
      <c r="W3" s="83">
        <v>79032</v>
      </c>
      <c r="X3" s="35">
        <v>69755.399999999994</v>
      </c>
      <c r="Y3" s="29" t="s">
        <v>47</v>
      </c>
      <c r="Z3" s="105"/>
      <c r="AA3" s="105"/>
      <c r="AB3" s="85">
        <f t="shared" ref="AB3:AB15" si="2">IF($F3="N","",IF($J3="","",IF($J3="Hydro","",IF($W3="","",IF($X3="",($AE3*3.6)/$AF3,($X3*IF($Z3="",$AD3,$Z3)*IF($AA3="",$AE3,$AA3)/$W3))))))</f>
        <v>2.6528446762830242</v>
      </c>
      <c r="AC3" s="31">
        <f t="shared" ref="AC3:AC15" si="3">IF($F3="N","",IF($J3="","",IF($J3="Hydro","",IF($W3="","",$AB3*$W3))))</f>
        <v>209659.62045599998</v>
      </c>
      <c r="AD3" s="32">
        <f>IF($W3="","",IF($F3="N","",IF($J3="Hydro","",IF($Z3="",IF($K3="","",IF($K3="Coal",'IPCC Values'!$B$2,IF($K3="Oil",'IPCC Values'!$C$2,IF($K3="Diesel",'IPCC Values'!$D$2,IF($K3="Natural Gas",'IPCC Values'!$E$2))))),""))))</f>
        <v>41.4</v>
      </c>
      <c r="AE3" s="32">
        <f>IF($W3="","",IF($F3="N","",IF($J3="Hydro","",IF($AA3="",IF($K3="","",IF($K3="Coal",'IPCC Values'!$B$3,IF($K3="Oil",'IPCC Values'!$C$3,IF($K3="Diesel",'IPCC Values'!$D$3,IF($K3="Natural Gas",'IPCC Values'!$E$3))))),""))))</f>
        <v>7.2599999999999998E-2</v>
      </c>
      <c r="AF3" s="33">
        <f>IF($W3="","",IF($F3="N","",IF($J3="Hydro","",IF($AA3="",IF($K3="","",IF($K3="Coal",'IPCC Values'!$B$4,IF($K3="Oil",'IPCC Values'!$C$4,IF($K3="Diesel",'IPCC Values'!$D$4,IF($K3="Natural Gas",'IPCC Values'!$E$4))))),""))))</f>
        <v>0.46</v>
      </c>
      <c r="AH3" s="46" t="s">
        <v>182</v>
      </c>
      <c r="AI3" s="46">
        <v>2011</v>
      </c>
      <c r="AJ3" s="46">
        <v>2012</v>
      </c>
      <c r="AK3" s="46">
        <v>2013</v>
      </c>
      <c r="AL3" s="46" t="s">
        <v>118</v>
      </c>
    </row>
    <row r="4" spans="1:38" ht="23.25" customHeight="1" x14ac:dyDescent="0.25">
      <c r="A4" s="13" t="s">
        <v>11</v>
      </c>
      <c r="B4" s="13">
        <v>982</v>
      </c>
      <c r="C4" s="36" t="s">
        <v>128</v>
      </c>
      <c r="D4" s="25" t="s">
        <v>120</v>
      </c>
      <c r="E4" s="25" t="s">
        <v>129</v>
      </c>
      <c r="F4" s="25" t="s">
        <v>34</v>
      </c>
      <c r="G4" s="25" t="s">
        <v>36</v>
      </c>
      <c r="H4" s="25" t="s">
        <v>130</v>
      </c>
      <c r="I4" s="25" t="s">
        <v>123</v>
      </c>
      <c r="J4" s="99" t="str">
        <f t="shared" si="0"/>
        <v>Thermal</v>
      </c>
      <c r="K4" s="12" t="s">
        <v>0</v>
      </c>
      <c r="L4" s="34">
        <v>2006</v>
      </c>
      <c r="M4" s="27" t="s">
        <v>131</v>
      </c>
      <c r="N4" s="27" t="s">
        <v>132</v>
      </c>
      <c r="O4" s="34">
        <v>2013</v>
      </c>
      <c r="P4" s="37">
        <v>26</v>
      </c>
      <c r="Q4" s="37" t="s">
        <v>133</v>
      </c>
      <c r="R4" s="39" t="s">
        <v>134</v>
      </c>
      <c r="S4" s="27" t="s">
        <v>36</v>
      </c>
      <c r="T4" s="3" t="s">
        <v>36</v>
      </c>
      <c r="U4" s="12">
        <v>2009</v>
      </c>
      <c r="V4" s="10" t="str">
        <f t="shared" si="1"/>
        <v>N</v>
      </c>
      <c r="W4" s="83">
        <v>146513</v>
      </c>
      <c r="X4" s="35"/>
      <c r="Y4" s="29"/>
      <c r="Z4" s="105"/>
      <c r="AA4" s="105"/>
      <c r="AB4" s="85">
        <f t="shared" si="2"/>
        <v>0.5681739130434782</v>
      </c>
      <c r="AC4" s="31">
        <f t="shared" si="3"/>
        <v>83244.864521739117</v>
      </c>
      <c r="AD4" s="32">
        <f>IF($W4="","",IF($F4="N","",IF($J4="Hydro","",IF($Z4="",IF($K4="","",IF($K4="Coal",'IPCC Values'!$B$2,IF($K4="Oil",'IPCC Values'!$C$2,IF($K4="Diesel",'IPCC Values'!$D$2,IF($K4="Natural Gas",'IPCC Values'!$E$2))))),""))))</f>
        <v>41.4</v>
      </c>
      <c r="AE4" s="32">
        <f>IF($W4="","",IF($F4="N","",IF($J4="Hydro","",IF($AA4="",IF($K4="","",IF($K4="Coal",'IPCC Values'!$B$3,IF($K4="Oil",'IPCC Values'!$C$3,IF($K4="Diesel",'IPCC Values'!$D$3,IF($K4="Natural Gas",'IPCC Values'!$E$3))))),""))))</f>
        <v>7.2599999999999998E-2</v>
      </c>
      <c r="AF4" s="33">
        <f>IF($W4="","",IF($F4="N","",IF($J4="Hydro","",IF($AA4="",IF($K4="","",IF($K4="Coal",'IPCC Values'!$B$4,IF($K4="Oil",'IPCC Values'!$C$4,IF($K4="Diesel",'IPCC Values'!$D$4,IF($K4="Natural Gas",'IPCC Values'!$E$4))))),""))))</f>
        <v>0.46</v>
      </c>
      <c r="AH4" s="45" t="s">
        <v>183</v>
      </c>
      <c r="AI4" s="44">
        <f>SUMIFS($W$3:$W$15,$F$3:$F$15,"=Y",$V$3:$V$15,"=N",$U$3:$U$15,AI3)</f>
        <v>212658</v>
      </c>
      <c r="AJ4" s="44">
        <f>SUMIFS($W$3:$W$15,$F$3:$F$15,"=Y",$V$3:$V$15,"=N",$U$3:$U$15,AJ3)</f>
        <v>206030</v>
      </c>
      <c r="AK4" s="44">
        <f>SUMIFS($W$3:$W$15,$F$3:$F$15,"=Y",$V$3:$V$15,"=N",$U$3:$U$15,AK3)</f>
        <v>204397.32</v>
      </c>
      <c r="AL4" s="44">
        <f>SUM(AI4:AK4)</f>
        <v>623085.32000000007</v>
      </c>
    </row>
    <row r="5" spans="1:38" ht="23.25" customHeight="1" x14ac:dyDescent="0.25">
      <c r="A5" s="13" t="s">
        <v>11</v>
      </c>
      <c r="B5" s="13">
        <v>983</v>
      </c>
      <c r="C5" s="36" t="s">
        <v>119</v>
      </c>
      <c r="D5" s="25" t="s">
        <v>120</v>
      </c>
      <c r="E5" s="25" t="s">
        <v>121</v>
      </c>
      <c r="F5" s="25" t="s">
        <v>34</v>
      </c>
      <c r="G5" s="25" t="s">
        <v>36</v>
      </c>
      <c r="H5" s="25" t="s">
        <v>130</v>
      </c>
      <c r="I5" s="25" t="s">
        <v>123</v>
      </c>
      <c r="J5" s="99" t="str">
        <f t="shared" si="0"/>
        <v>Thermal</v>
      </c>
      <c r="K5" s="12" t="s">
        <v>0</v>
      </c>
      <c r="L5" s="26">
        <v>1981</v>
      </c>
      <c r="M5" s="27" t="s">
        <v>124</v>
      </c>
      <c r="N5" s="28" t="s">
        <v>125</v>
      </c>
      <c r="O5" s="26">
        <v>1990</v>
      </c>
      <c r="P5" s="38">
        <v>12.9</v>
      </c>
      <c r="Q5" s="37" t="s">
        <v>126</v>
      </c>
      <c r="R5" s="39" t="s">
        <v>127</v>
      </c>
      <c r="S5" s="27" t="s">
        <v>36</v>
      </c>
      <c r="T5" s="3" t="s">
        <v>36</v>
      </c>
      <c r="U5" s="12">
        <v>2010</v>
      </c>
      <c r="V5" s="10" t="str">
        <f t="shared" si="1"/>
        <v>N</v>
      </c>
      <c r="W5" s="83">
        <v>101205</v>
      </c>
      <c r="X5" s="35"/>
      <c r="Y5" s="29"/>
      <c r="Z5" s="105"/>
      <c r="AA5" s="105"/>
      <c r="AB5" s="85">
        <f t="shared" si="2"/>
        <v>0.5681739130434782</v>
      </c>
      <c r="AC5" s="31">
        <f t="shared" si="3"/>
        <v>57502.040869565208</v>
      </c>
      <c r="AD5" s="32">
        <f>IF($W5="","",IF($F5="N","",IF($J5="Hydro","",IF($Z5="",IF($K5="","",IF($K5="Coal",'IPCC Values'!$B$2,IF($K5="Oil",'IPCC Values'!$C$2,IF($K5="Diesel",'IPCC Values'!$D$2,IF($K5="Natural Gas",'IPCC Values'!$E$2))))),""))))</f>
        <v>41.4</v>
      </c>
      <c r="AE5" s="32">
        <f>IF($W5="","",IF($F5="N","",IF($J5="Hydro","",IF($AA5="",IF($K5="","",IF($K5="Coal",'IPCC Values'!$B$3,IF($K5="Oil",'IPCC Values'!$C$3,IF($K5="Diesel",'IPCC Values'!$D$3,IF($K5="Natural Gas",'IPCC Values'!$E$3))))),""))))</f>
        <v>7.2599999999999998E-2</v>
      </c>
      <c r="AF5" s="33">
        <f>IF($W5="","",IF($F5="N","",IF($J5="Hydro","",IF($AA5="",IF($K5="","",IF($K5="Coal",'IPCC Values'!$B$4,IF($K5="Oil",'IPCC Values'!$C$4,IF($K5="Diesel",'IPCC Values'!$D$4,IF($K5="Natural Gas",'IPCC Values'!$E$4))))),""))))</f>
        <v>0.46</v>
      </c>
      <c r="AH5" s="45" t="s">
        <v>184</v>
      </c>
      <c r="AI5" s="44">
        <f>SUMIFS($AC$3:$AC$15,$F$3:$F$15,"=Y",$V$3:$V$15,"=N",$U$3:$U$15,AI3)</f>
        <v>120826.72799999997</v>
      </c>
      <c r="AJ5" s="44">
        <f>SUMIFS($AC$3:$AC$15,$F$3:$F$15,"=Y",$V$3:$V$15,"=N",$U$3:$U$15,AJ3)</f>
        <v>117060.87130434782</v>
      </c>
      <c r="AK5" s="44">
        <f>SUMIFS($AC$3:$AC$15,$F$3:$F$15,"=Y",$V$3:$V$15,"=N",$U$3:$U$15,AK3)</f>
        <v>116133.22511999999</v>
      </c>
      <c r="AL5" s="44">
        <f t="shared" ref="AL5:AL10" si="4">SUM(AI5:AK5)</f>
        <v>354020.82442434778</v>
      </c>
    </row>
    <row r="6" spans="1:38" ht="23.25" customHeight="1" x14ac:dyDescent="0.25">
      <c r="A6" s="13" t="s">
        <v>11</v>
      </c>
      <c r="B6" s="13">
        <v>984</v>
      </c>
      <c r="C6" s="36" t="s">
        <v>135</v>
      </c>
      <c r="D6" s="25" t="s">
        <v>120</v>
      </c>
      <c r="E6" s="25" t="s">
        <v>129</v>
      </c>
      <c r="F6" s="25" t="s">
        <v>34</v>
      </c>
      <c r="G6" s="25" t="s">
        <v>36</v>
      </c>
      <c r="H6" s="25" t="s">
        <v>130</v>
      </c>
      <c r="I6" s="25" t="s">
        <v>123</v>
      </c>
      <c r="J6" s="99" t="str">
        <f t="shared" si="0"/>
        <v>Thermal</v>
      </c>
      <c r="K6" s="12" t="s">
        <v>0</v>
      </c>
      <c r="L6" s="34">
        <v>2006</v>
      </c>
      <c r="M6" s="27" t="s">
        <v>131</v>
      </c>
      <c r="N6" s="27" t="s">
        <v>132</v>
      </c>
      <c r="O6" s="34">
        <v>2013</v>
      </c>
      <c r="P6" s="37">
        <v>26</v>
      </c>
      <c r="Q6" s="37" t="s">
        <v>133</v>
      </c>
      <c r="R6" s="39" t="s">
        <v>134</v>
      </c>
      <c r="S6" s="27" t="s">
        <v>36</v>
      </c>
      <c r="T6" s="3" t="s">
        <v>36</v>
      </c>
      <c r="U6" s="12">
        <v>2010</v>
      </c>
      <c r="V6" s="10" t="str">
        <f t="shared" si="1"/>
        <v>N</v>
      </c>
      <c r="W6" s="83">
        <v>134022</v>
      </c>
      <c r="X6" s="35"/>
      <c r="Y6" s="29"/>
      <c r="Z6" s="105"/>
      <c r="AA6" s="105"/>
      <c r="AB6" s="85">
        <f t="shared" si="2"/>
        <v>0.5681739130434782</v>
      </c>
      <c r="AC6" s="31">
        <f t="shared" si="3"/>
        <v>76147.804173913028</v>
      </c>
      <c r="AD6" s="32">
        <f>IF($W6="","",IF($F6="N","",IF($J6="Hydro","",IF($Z6="",IF($K6="","",IF($K6="Coal",'IPCC Values'!$B$2,IF($K6="Oil",'IPCC Values'!$C$2,IF($K6="Diesel",'IPCC Values'!$D$2,IF($K6="Natural Gas",'IPCC Values'!$E$2))))),""))))</f>
        <v>41.4</v>
      </c>
      <c r="AE6" s="32">
        <f>IF($W6="","",IF($F6="N","",IF($J6="Hydro","",IF($AA6="",IF($K6="","",IF($K6="Coal",'IPCC Values'!$B$3,IF($K6="Oil",'IPCC Values'!$C$3,IF($K6="Diesel",'IPCC Values'!$D$3,IF($K6="Natural Gas",'IPCC Values'!$E$3))))),""))))</f>
        <v>7.2599999999999998E-2</v>
      </c>
      <c r="AF6" s="33">
        <f>IF($W6="","",IF($F6="N","",IF($J6="Hydro","",IF($AA6="",IF($K6="","",IF($K6="Coal",'IPCC Values'!$B$4,IF($K6="Oil",'IPCC Values'!$C$4,IF($K6="Diesel",'IPCC Values'!$D$4,IF($K6="Natural Gas",'IPCC Values'!$E$4))))),""))))</f>
        <v>0.46</v>
      </c>
      <c r="AH6" s="45" t="s">
        <v>149</v>
      </c>
      <c r="AI6" s="44">
        <f>0.1*AI4</f>
        <v>21265.800000000003</v>
      </c>
      <c r="AJ6" s="44">
        <f t="shared" ref="AJ6:AK6" si="5">0.1*AJ4</f>
        <v>20603</v>
      </c>
      <c r="AK6" s="44">
        <f t="shared" si="5"/>
        <v>20439.732000000004</v>
      </c>
      <c r="AL6" s="44">
        <f t="shared" si="4"/>
        <v>62308.532000000007</v>
      </c>
    </row>
    <row r="7" spans="1:38" ht="23.25" customHeight="1" x14ac:dyDescent="0.25">
      <c r="A7" s="13" t="s">
        <v>11</v>
      </c>
      <c r="B7" s="13">
        <v>985</v>
      </c>
      <c r="C7" s="36" t="s">
        <v>119</v>
      </c>
      <c r="D7" s="25" t="s">
        <v>120</v>
      </c>
      <c r="E7" s="25" t="s">
        <v>121</v>
      </c>
      <c r="F7" s="25" t="s">
        <v>34</v>
      </c>
      <c r="G7" s="25" t="s">
        <v>36</v>
      </c>
      <c r="H7" s="25" t="s">
        <v>130</v>
      </c>
      <c r="I7" s="25" t="s">
        <v>123</v>
      </c>
      <c r="J7" s="99" t="str">
        <f t="shared" si="0"/>
        <v>Thermal</v>
      </c>
      <c r="K7" s="12" t="s">
        <v>0</v>
      </c>
      <c r="L7" s="26">
        <v>1981</v>
      </c>
      <c r="M7" s="27" t="s">
        <v>124</v>
      </c>
      <c r="N7" s="28" t="s">
        <v>125</v>
      </c>
      <c r="O7" s="26">
        <v>1990</v>
      </c>
      <c r="P7" s="38">
        <v>12.9</v>
      </c>
      <c r="Q7" s="37" t="s">
        <v>126</v>
      </c>
      <c r="R7" s="39" t="s">
        <v>127</v>
      </c>
      <c r="S7" s="27" t="s">
        <v>36</v>
      </c>
      <c r="T7" s="3" t="s">
        <v>36</v>
      </c>
      <c r="U7" s="12">
        <v>2011</v>
      </c>
      <c r="V7" s="10" t="str">
        <f t="shared" si="1"/>
        <v>N</v>
      </c>
      <c r="W7" s="83">
        <v>92824</v>
      </c>
      <c r="X7" s="35"/>
      <c r="Y7" s="29"/>
      <c r="Z7" s="105"/>
      <c r="AA7" s="105"/>
      <c r="AB7" s="85">
        <f t="shared" si="2"/>
        <v>0.5681739130434782</v>
      </c>
      <c r="AC7" s="31">
        <f t="shared" si="3"/>
        <v>52740.175304347817</v>
      </c>
      <c r="AD7" s="32">
        <f>IF($W7="","",IF($F7="N","",IF($J7="Hydro","",IF($Z7="",IF($K7="","",IF($K7="Coal",'IPCC Values'!$B$2,IF($K7="Oil",'IPCC Values'!$C$2,IF($K7="Diesel",'IPCC Values'!$D$2,IF($K7="Natural Gas",'IPCC Values'!$E$2))))),""))))</f>
        <v>41.4</v>
      </c>
      <c r="AE7" s="32">
        <f>IF($W7="","",IF($F7="N","",IF($J7="Hydro","",IF($AA7="",IF($K7="","",IF($K7="Coal",'IPCC Values'!$B$3,IF($K7="Oil",'IPCC Values'!$C$3,IF($K7="Diesel",'IPCC Values'!$D$3,IF($K7="Natural Gas",'IPCC Values'!$E$3))))),""))))</f>
        <v>7.2599999999999998E-2</v>
      </c>
      <c r="AF7" s="33">
        <f>IF($W7="","",IF($F7="N","",IF($J7="Hydro","",IF($AA7="",IF($K7="","",IF($K7="Coal",'IPCC Values'!$B$4,IF($K7="Oil",'IPCC Values'!$C$4,IF($K7="Diesel",'IPCC Values'!$D$4,IF($K7="Natural Gas",'IPCC Values'!$E$4))))),""))))</f>
        <v>0.46</v>
      </c>
      <c r="AH7" s="45" t="s">
        <v>150</v>
      </c>
      <c r="AI7" s="44">
        <f>AI6*0.8</f>
        <v>17012.640000000003</v>
      </c>
      <c r="AJ7" s="44">
        <f t="shared" ref="AJ7:AK7" si="6">AJ6*0.8</f>
        <v>16482.400000000001</v>
      </c>
      <c r="AK7" s="44">
        <f t="shared" si="6"/>
        <v>16351.785600000003</v>
      </c>
      <c r="AL7" s="44">
        <f t="shared" si="4"/>
        <v>49846.825600000011</v>
      </c>
    </row>
    <row r="8" spans="1:38" ht="23.25" customHeight="1" x14ac:dyDescent="0.25">
      <c r="A8" s="13"/>
      <c r="B8" s="13"/>
      <c r="C8" s="36"/>
      <c r="D8" s="25"/>
      <c r="E8" s="25"/>
      <c r="F8" s="25"/>
      <c r="G8" s="25"/>
      <c r="H8" s="25"/>
      <c r="I8" s="25"/>
      <c r="J8" s="99"/>
      <c r="K8" s="12"/>
      <c r="L8" s="26"/>
      <c r="M8" s="27"/>
      <c r="N8" s="28"/>
      <c r="O8" s="26"/>
      <c r="P8" s="38"/>
      <c r="Q8" s="37"/>
      <c r="R8" s="39"/>
      <c r="S8" s="27"/>
      <c r="T8" s="3"/>
      <c r="U8" s="12"/>
      <c r="V8" s="10"/>
      <c r="W8" s="83"/>
      <c r="X8" s="35"/>
      <c r="Y8" s="29"/>
      <c r="Z8" s="105"/>
      <c r="AA8" s="105"/>
      <c r="AB8" s="85"/>
      <c r="AC8" s="31"/>
      <c r="AD8" s="32"/>
      <c r="AE8" s="32"/>
      <c r="AF8" s="33"/>
      <c r="AH8" s="45" t="s">
        <v>151</v>
      </c>
      <c r="AI8" s="43">
        <f>AI5/AI4</f>
        <v>0.56817391304347808</v>
      </c>
      <c r="AJ8" s="43">
        <f t="shared" ref="AJ8:AK8" si="7">AJ5/AJ4</f>
        <v>0.5681739130434782</v>
      </c>
      <c r="AK8" s="43">
        <f t="shared" si="7"/>
        <v>0.5681739130434782</v>
      </c>
      <c r="AL8" s="43"/>
    </row>
    <row r="9" spans="1:38" ht="23.25" customHeight="1" x14ac:dyDescent="0.25">
      <c r="A9" s="13"/>
      <c r="B9" s="13"/>
      <c r="C9" s="36"/>
      <c r="D9" s="25"/>
      <c r="E9" s="25"/>
      <c r="F9" s="25"/>
      <c r="G9" s="25"/>
      <c r="H9" s="25"/>
      <c r="I9" s="25"/>
      <c r="J9" s="99"/>
      <c r="K9" s="12"/>
      <c r="L9" s="26"/>
      <c r="M9" s="27"/>
      <c r="N9" s="28"/>
      <c r="O9" s="26"/>
      <c r="P9" s="38"/>
      <c r="Q9" s="37"/>
      <c r="R9" s="39"/>
      <c r="S9" s="27"/>
      <c r="T9" s="3"/>
      <c r="U9" s="12"/>
      <c r="V9" s="10"/>
      <c r="W9" s="83"/>
      <c r="X9" s="35"/>
      <c r="Y9" s="29"/>
      <c r="Z9" s="105"/>
      <c r="AA9" s="105"/>
      <c r="AB9" s="85"/>
      <c r="AC9" s="31"/>
      <c r="AD9" s="32"/>
      <c r="AE9" s="32"/>
      <c r="AF9" s="33"/>
      <c r="AH9" s="45" t="s">
        <v>152</v>
      </c>
      <c r="AI9" s="43">
        <f>(AI7+AI5)/(AI4+AI6)</f>
        <v>0.58924901185770751</v>
      </c>
      <c r="AJ9" s="43">
        <f t="shared" ref="AJ9:AK9" si="8">(AJ7+AJ5)/(AJ4+AJ6)</f>
        <v>0.58924901185770751</v>
      </c>
      <c r="AK9" s="43">
        <f t="shared" si="8"/>
        <v>0.58924901185770739</v>
      </c>
      <c r="AL9" s="44"/>
    </row>
    <row r="10" spans="1:38" ht="23.25" customHeight="1" x14ac:dyDescent="0.25">
      <c r="A10" s="13" t="s">
        <v>11</v>
      </c>
      <c r="B10" s="13">
        <v>986</v>
      </c>
      <c r="C10" s="36" t="s">
        <v>135</v>
      </c>
      <c r="D10" s="25" t="s">
        <v>120</v>
      </c>
      <c r="E10" s="25" t="s">
        <v>129</v>
      </c>
      <c r="F10" s="25" t="s">
        <v>34</v>
      </c>
      <c r="G10" s="25" t="s">
        <v>36</v>
      </c>
      <c r="H10" s="25" t="s">
        <v>130</v>
      </c>
      <c r="I10" s="25" t="s">
        <v>123</v>
      </c>
      <c r="J10" s="99" t="str">
        <f t="shared" si="0"/>
        <v>Thermal</v>
      </c>
      <c r="K10" s="12" t="s">
        <v>0</v>
      </c>
      <c r="L10" s="34">
        <v>2006</v>
      </c>
      <c r="M10" s="27" t="s">
        <v>131</v>
      </c>
      <c r="N10" s="27" t="s">
        <v>132</v>
      </c>
      <c r="O10" s="34">
        <v>2013</v>
      </c>
      <c r="P10" s="37">
        <v>26</v>
      </c>
      <c r="Q10" s="37" t="s">
        <v>133</v>
      </c>
      <c r="R10" s="39" t="s">
        <v>134</v>
      </c>
      <c r="S10" s="27" t="s">
        <v>36</v>
      </c>
      <c r="T10" s="3" t="s">
        <v>36</v>
      </c>
      <c r="U10" s="12">
        <v>2011</v>
      </c>
      <c r="V10" s="10" t="str">
        <f t="shared" si="1"/>
        <v>N</v>
      </c>
      <c r="W10" s="83">
        <v>119834</v>
      </c>
      <c r="X10" s="35"/>
      <c r="Y10" s="29"/>
      <c r="Z10" s="105"/>
      <c r="AA10" s="105"/>
      <c r="AB10" s="85">
        <f t="shared" si="2"/>
        <v>0.5681739130434782</v>
      </c>
      <c r="AC10" s="31">
        <f t="shared" si="3"/>
        <v>68086.552695652164</v>
      </c>
      <c r="AD10" s="32">
        <f>IF($W10="","",IF($F10="N","",IF($J10="Hydro","",IF($Z10="",IF($K10="","",IF($K10="Coal",'IPCC Values'!$B$2,IF($K10="Oil",'IPCC Values'!$C$2,IF($K10="Diesel",'IPCC Values'!$D$2,IF($K10="Natural Gas",'IPCC Values'!$E$2))))),""))))</f>
        <v>41.4</v>
      </c>
      <c r="AE10" s="32">
        <f>IF($W10="","",IF($F10="N","",IF($J10="Hydro","",IF($AA10="",IF($K10="","",IF($K10="Coal",'IPCC Values'!$B$3,IF($K10="Oil",'IPCC Values'!$C$3,IF($K10="Diesel",'IPCC Values'!$D$3,IF($K10="Natural Gas",'IPCC Values'!$E$3))))),""))))</f>
        <v>7.2599999999999998E-2</v>
      </c>
      <c r="AF10" s="33">
        <f>IF($W10="","",IF($F10="N","",IF($J10="Hydro","",IF($AA10="",IF($K10="","",IF($K10="Coal",'IPCC Values'!$B$4,IF($K10="Oil",'IPCC Values'!$C$4,IF($K10="Diesel",'IPCC Values'!$D$4,IF($K10="Natural Gas",'IPCC Values'!$E$4))))),""))))</f>
        <v>0.46</v>
      </c>
      <c r="AH10" s="45" t="s">
        <v>155</v>
      </c>
      <c r="AI10" s="42">
        <f>$AI$4/$AL$4</f>
        <v>0.34129836344082054</v>
      </c>
      <c r="AJ10" s="42">
        <f>$AJ$4/$AL$4</f>
        <v>0.33066097593183541</v>
      </c>
      <c r="AK10" s="42">
        <f>$AK$4/$AL$4</f>
        <v>0.32804066062734394</v>
      </c>
      <c r="AL10" s="118">
        <f t="shared" si="4"/>
        <v>0.99999999999999989</v>
      </c>
    </row>
    <row r="11" spans="1:38" ht="23.25" customHeight="1" x14ac:dyDescent="0.25">
      <c r="A11" s="13" t="s">
        <v>11</v>
      </c>
      <c r="B11" s="13">
        <v>987</v>
      </c>
      <c r="C11" s="36" t="s">
        <v>119</v>
      </c>
      <c r="D11" s="25" t="s">
        <v>120</v>
      </c>
      <c r="E11" s="25" t="s">
        <v>121</v>
      </c>
      <c r="F11" s="25" t="s">
        <v>34</v>
      </c>
      <c r="G11" s="25" t="s">
        <v>36</v>
      </c>
      <c r="H11" s="25" t="s">
        <v>130</v>
      </c>
      <c r="I11" s="25" t="s">
        <v>123</v>
      </c>
      <c r="J11" s="99" t="str">
        <f t="shared" si="0"/>
        <v>Thermal</v>
      </c>
      <c r="K11" s="12" t="s">
        <v>0</v>
      </c>
      <c r="L11" s="26">
        <v>1981</v>
      </c>
      <c r="M11" s="27" t="s">
        <v>124</v>
      </c>
      <c r="N11" s="28" t="s">
        <v>125</v>
      </c>
      <c r="O11" s="26">
        <v>1990</v>
      </c>
      <c r="P11" s="38">
        <v>12.9</v>
      </c>
      <c r="Q11" s="37" t="s">
        <v>126</v>
      </c>
      <c r="R11" s="39" t="s">
        <v>127</v>
      </c>
      <c r="S11" s="27" t="s">
        <v>36</v>
      </c>
      <c r="T11" s="3" t="s">
        <v>36</v>
      </c>
      <c r="U11" s="12">
        <v>2012</v>
      </c>
      <c r="V11" s="10" t="str">
        <f t="shared" si="1"/>
        <v>N</v>
      </c>
      <c r="W11" s="83">
        <v>102009</v>
      </c>
      <c r="X11" s="35"/>
      <c r="Y11" s="29"/>
      <c r="Z11" s="105"/>
      <c r="AA11" s="105"/>
      <c r="AB11" s="85">
        <f t="shared" si="2"/>
        <v>0.5681739130434782</v>
      </c>
      <c r="AC11" s="31">
        <f t="shared" si="3"/>
        <v>57958.852695652167</v>
      </c>
      <c r="AD11" s="32">
        <f>IF($W11="","",IF($F11="N","",IF($J11="Hydro","",IF($Z11="",IF($K11="","",IF($K11="Coal",'IPCC Values'!$B$2,IF($K11="Oil",'IPCC Values'!$C$2,IF($K11="Diesel",'IPCC Values'!$D$2,IF($K11="Natural Gas",'IPCC Values'!$E$2))))),""))))</f>
        <v>41.4</v>
      </c>
      <c r="AE11" s="32">
        <f>IF($W11="","",IF($F11="N","",IF($J11="Hydro","",IF($AA11="",IF($K11="","",IF($K11="Coal",'IPCC Values'!$B$3,IF($K11="Oil",'IPCC Values'!$C$3,IF($K11="Diesel",'IPCC Values'!$D$3,IF($K11="Natural Gas",'IPCC Values'!$E$3))))),""))))</f>
        <v>7.2599999999999998E-2</v>
      </c>
      <c r="AF11" s="33">
        <f>IF($W11="","",IF($F11="N","",IF($J11="Hydro","",IF($AA11="",IF($K11="","",IF($K11="Coal",'IPCC Values'!$B$4,IF($K11="Oil",'IPCC Values'!$C$4,IF($K11="Diesel",'IPCC Values'!$D$4,IF($K11="Natural Gas",'IPCC Values'!$E$4))))),""))))</f>
        <v>0.46</v>
      </c>
      <c r="AH11" s="45" t="s">
        <v>156</v>
      </c>
      <c r="AI11" s="42">
        <f>(AI6+AI4)/($AL$6+$AL$4)</f>
        <v>0.34129836344082054</v>
      </c>
      <c r="AJ11" s="42">
        <f t="shared" ref="AJ11:AK11" si="9">(AJ6+AJ4)/($AL$6+$AL$4)</f>
        <v>0.33066097593183541</v>
      </c>
      <c r="AK11" s="42">
        <f t="shared" si="9"/>
        <v>0.32804066062734394</v>
      </c>
      <c r="AL11" s="118">
        <v>1</v>
      </c>
    </row>
    <row r="12" spans="1:38" ht="23.25" customHeight="1" x14ac:dyDescent="0.25">
      <c r="A12" s="13"/>
      <c r="B12" s="13"/>
      <c r="C12" s="36"/>
      <c r="D12" s="25"/>
      <c r="E12" s="25"/>
      <c r="F12" s="25"/>
      <c r="G12" s="25"/>
      <c r="H12" s="25"/>
      <c r="I12" s="25"/>
      <c r="J12" s="99"/>
      <c r="K12" s="12"/>
      <c r="L12" s="26"/>
      <c r="M12" s="27"/>
      <c r="N12" s="28"/>
      <c r="O12" s="26"/>
      <c r="P12" s="38"/>
      <c r="Q12" s="37"/>
      <c r="R12" s="39"/>
      <c r="S12" s="27"/>
      <c r="T12" s="3"/>
      <c r="U12" s="12"/>
      <c r="V12" s="10"/>
      <c r="W12" s="83"/>
      <c r="X12" s="35"/>
      <c r="Y12" s="29"/>
      <c r="Z12" s="105"/>
      <c r="AA12" s="105"/>
      <c r="AB12" s="85"/>
      <c r="AC12" s="31"/>
      <c r="AD12" s="32"/>
      <c r="AE12" s="32"/>
      <c r="AF12" s="33"/>
      <c r="AH12" s="177" t="s">
        <v>153</v>
      </c>
      <c r="AI12" s="178"/>
      <c r="AJ12" s="178"/>
      <c r="AK12" s="179"/>
      <c r="AL12" s="157">
        <f>(AI10*AI8)+(AJ10*AJ8)+(AK10*AK8)</f>
        <v>0.56817391304347808</v>
      </c>
    </row>
    <row r="13" spans="1:38" ht="23.25" customHeight="1" x14ac:dyDescent="0.25">
      <c r="A13" s="13" t="s">
        <v>11</v>
      </c>
      <c r="B13" s="13">
        <v>988</v>
      </c>
      <c r="C13" s="36" t="s">
        <v>135</v>
      </c>
      <c r="D13" s="25" t="s">
        <v>120</v>
      </c>
      <c r="E13" s="25" t="s">
        <v>129</v>
      </c>
      <c r="F13" s="25" t="s">
        <v>34</v>
      </c>
      <c r="G13" s="25" t="s">
        <v>36</v>
      </c>
      <c r="H13" s="25" t="s">
        <v>130</v>
      </c>
      <c r="I13" s="25" t="s">
        <v>123</v>
      </c>
      <c r="J13" s="99" t="str">
        <f t="shared" si="0"/>
        <v>Thermal</v>
      </c>
      <c r="K13" s="12" t="s">
        <v>0</v>
      </c>
      <c r="L13" s="34">
        <v>2006</v>
      </c>
      <c r="M13" s="27" t="s">
        <v>131</v>
      </c>
      <c r="N13" s="27" t="s">
        <v>132</v>
      </c>
      <c r="O13" s="34">
        <v>2013</v>
      </c>
      <c r="P13" s="37">
        <v>26</v>
      </c>
      <c r="Q13" s="37" t="s">
        <v>133</v>
      </c>
      <c r="R13" s="39" t="s">
        <v>134</v>
      </c>
      <c r="S13" s="27" t="s">
        <v>36</v>
      </c>
      <c r="T13" s="3" t="s">
        <v>36</v>
      </c>
      <c r="U13" s="12">
        <v>2012</v>
      </c>
      <c r="V13" s="10" t="str">
        <f t="shared" si="1"/>
        <v>N</v>
      </c>
      <c r="W13" s="83">
        <v>104021</v>
      </c>
      <c r="X13" s="35"/>
      <c r="Y13" s="29"/>
      <c r="Z13" s="105"/>
      <c r="AA13" s="105"/>
      <c r="AB13" s="85">
        <f t="shared" si="2"/>
        <v>0.5681739130434782</v>
      </c>
      <c r="AC13" s="31">
        <f t="shared" si="3"/>
        <v>59102.018608695646</v>
      </c>
      <c r="AD13" s="32">
        <f>IF($W13="","",IF($F13="N","",IF($J13="Hydro","",IF($Z13="",IF($K13="","",IF($K13="Coal",'IPCC Values'!$B$2,IF($K13="Oil",'IPCC Values'!$C$2,IF($K13="Diesel",'IPCC Values'!$D$2,IF($K13="Natural Gas",'IPCC Values'!$E$2))))),""))))</f>
        <v>41.4</v>
      </c>
      <c r="AE13" s="32">
        <f>IF($W13="","",IF($F13="N","",IF($J13="Hydro","",IF($AA13="",IF($K13="","",IF($K13="Coal",'IPCC Values'!$B$3,IF($K13="Oil",'IPCC Values'!$C$3,IF($K13="Diesel",'IPCC Values'!$D$3,IF($K13="Natural Gas",'IPCC Values'!$E$3))))),""))))</f>
        <v>7.2599999999999998E-2</v>
      </c>
      <c r="AF13" s="33">
        <f>IF($W13="","",IF($F13="N","",IF($J13="Hydro","",IF($AA13="",IF($K13="","",IF($K13="Coal",'IPCC Values'!$B$4,IF($K13="Oil",'IPCC Values'!$C$4,IF($K13="Diesel",'IPCC Values'!$D$4,IF($K13="Natural Gas",'IPCC Values'!$E$4))))),""))))</f>
        <v>0.46</v>
      </c>
      <c r="AH13" s="174" t="s">
        <v>154</v>
      </c>
      <c r="AI13" s="175"/>
      <c r="AJ13" s="175"/>
      <c r="AK13" s="176"/>
      <c r="AL13" s="158">
        <f>(AI11*AI9)+(AJ11*AJ9)+(AK11*AK9)</f>
        <v>0.58924901185770739</v>
      </c>
    </row>
    <row r="14" spans="1:38" ht="23.25" customHeight="1" x14ac:dyDescent="0.25">
      <c r="A14" s="13" t="s">
        <v>11</v>
      </c>
      <c r="B14" s="13">
        <v>989</v>
      </c>
      <c r="C14" s="36" t="s">
        <v>119</v>
      </c>
      <c r="D14" s="25" t="s">
        <v>120</v>
      </c>
      <c r="E14" s="25" t="s">
        <v>121</v>
      </c>
      <c r="F14" s="25" t="s">
        <v>34</v>
      </c>
      <c r="G14" s="25" t="s">
        <v>36</v>
      </c>
      <c r="H14" s="25" t="s">
        <v>130</v>
      </c>
      <c r="I14" s="25" t="s">
        <v>123</v>
      </c>
      <c r="J14" s="99" t="str">
        <f t="shared" si="0"/>
        <v>Thermal</v>
      </c>
      <c r="K14" s="12" t="s">
        <v>0</v>
      </c>
      <c r="L14" s="26">
        <v>1981</v>
      </c>
      <c r="M14" s="27" t="s">
        <v>124</v>
      </c>
      <c r="N14" s="28" t="s">
        <v>125</v>
      </c>
      <c r="O14" s="26">
        <v>1990</v>
      </c>
      <c r="P14" s="38">
        <v>12.9</v>
      </c>
      <c r="Q14" s="37" t="s">
        <v>126</v>
      </c>
      <c r="R14" s="39" t="s">
        <v>127</v>
      </c>
      <c r="S14" s="27" t="s">
        <v>36</v>
      </c>
      <c r="T14" s="3" t="s">
        <v>36</v>
      </c>
      <c r="U14" s="12">
        <v>2013</v>
      </c>
      <c r="V14" s="10" t="str">
        <f t="shared" si="1"/>
        <v>N</v>
      </c>
      <c r="W14" s="83">
        <v>101192.32000000001</v>
      </c>
      <c r="X14" s="35"/>
      <c r="Y14" s="29"/>
      <c r="Z14" s="105"/>
      <c r="AA14" s="105"/>
      <c r="AB14" s="85">
        <f t="shared" si="2"/>
        <v>0.5681739130434782</v>
      </c>
      <c r="AC14" s="31">
        <f t="shared" si="3"/>
        <v>57494.836424347821</v>
      </c>
      <c r="AD14" s="32">
        <f>IF($W14="","",IF($F14="N","",IF($J14="Hydro","",IF($Z14="",IF($K14="","",IF($K14="Coal",'IPCC Values'!$B$2,IF($K14="Oil",'IPCC Values'!$C$2,IF($K14="Diesel",'IPCC Values'!$D$2,IF($K14="Natural Gas",'IPCC Values'!$E$2))))),""))))</f>
        <v>41.4</v>
      </c>
      <c r="AE14" s="32">
        <f>IF($W14="","",IF($F14="N","",IF($J14="Hydro","",IF($AA14="",IF($K14="","",IF($K14="Coal",'IPCC Values'!$B$3,IF($K14="Oil",'IPCC Values'!$C$3,IF($K14="Diesel",'IPCC Values'!$D$3,IF($K14="Natural Gas",'IPCC Values'!$E$3))))),""))))</f>
        <v>7.2599999999999998E-2</v>
      </c>
      <c r="AF14" s="33">
        <f>IF($W14="","",IF($F14="N","",IF($J14="Hydro","",IF($AA14="",IF($K14="","",IF($K14="Coal",'IPCC Values'!$B$4,IF($K14="Oil",'IPCC Values'!$C$4,IF($K14="Diesel",'IPCC Values'!$D$4,IF($K14="Natural Gas",'IPCC Values'!$E$4))))),""))))</f>
        <v>0.46</v>
      </c>
    </row>
    <row r="15" spans="1:38" ht="23.25" customHeight="1" x14ac:dyDescent="0.25">
      <c r="A15" s="13" t="s">
        <v>11</v>
      </c>
      <c r="B15" s="13">
        <v>990</v>
      </c>
      <c r="C15" s="36" t="s">
        <v>135</v>
      </c>
      <c r="D15" s="25" t="s">
        <v>120</v>
      </c>
      <c r="E15" s="25" t="s">
        <v>129</v>
      </c>
      <c r="F15" s="25" t="s">
        <v>34</v>
      </c>
      <c r="G15" s="25" t="s">
        <v>36</v>
      </c>
      <c r="H15" s="25" t="s">
        <v>130</v>
      </c>
      <c r="I15" s="25" t="s">
        <v>123</v>
      </c>
      <c r="J15" s="99" t="str">
        <f t="shared" si="0"/>
        <v>Thermal</v>
      </c>
      <c r="K15" s="12" t="s">
        <v>0</v>
      </c>
      <c r="L15" s="34">
        <v>2006</v>
      </c>
      <c r="M15" s="27" t="s">
        <v>131</v>
      </c>
      <c r="N15" s="27" t="s">
        <v>132</v>
      </c>
      <c r="O15" s="34">
        <v>2013</v>
      </c>
      <c r="P15" s="37">
        <v>26</v>
      </c>
      <c r="Q15" s="37" t="s">
        <v>133</v>
      </c>
      <c r="R15" s="39" t="s">
        <v>134</v>
      </c>
      <c r="S15" s="27" t="s">
        <v>36</v>
      </c>
      <c r="T15" s="3" t="s">
        <v>36</v>
      </c>
      <c r="U15" s="12">
        <v>2013</v>
      </c>
      <c r="V15" s="10" t="str">
        <f t="shared" si="1"/>
        <v>N</v>
      </c>
      <c r="W15" s="83">
        <v>103205</v>
      </c>
      <c r="X15" s="35"/>
      <c r="Y15" s="29"/>
      <c r="Z15" s="105"/>
      <c r="AA15" s="105"/>
      <c r="AB15" s="85">
        <f t="shared" si="2"/>
        <v>0.5681739130434782</v>
      </c>
      <c r="AC15" s="31">
        <f t="shared" si="3"/>
        <v>58638.388695652167</v>
      </c>
      <c r="AD15" s="32">
        <f>IF($W15="","",IF($F15="N","",IF($J15="Hydro","",IF($Z15="",IF($K15="","",IF($K15="Coal",'IPCC Values'!$B$2,IF($K15="Oil",'IPCC Values'!$C$2,IF($K15="Diesel",'IPCC Values'!$D$2,IF($K15="Natural Gas",'IPCC Values'!$E$2))))),""))))</f>
        <v>41.4</v>
      </c>
      <c r="AE15" s="32">
        <f>IF($W15="","",IF($F15="N","",IF($J15="Hydro","",IF($AA15="",IF($K15="","",IF($K15="Coal",'IPCC Values'!$B$3,IF($K15="Oil",'IPCC Values'!$C$3,IF($K15="Diesel",'IPCC Values'!$D$3,IF($K15="Natural Gas",'IPCC Values'!$E$3))))),""))))</f>
        <v>7.2599999999999998E-2</v>
      </c>
      <c r="AF15" s="33">
        <f>IF($W15="","",IF($F15="N","",IF($J15="Hydro","",IF($AA15="",IF($K15="","",IF($K15="Coal",'IPCC Values'!$B$4,IF($K15="Oil",'IPCC Values'!$C$4,IF($K15="Diesel",'IPCC Values'!$D$4,IF($K15="Natural Gas",'IPCC Values'!$E$4))))),""))))</f>
        <v>0.46</v>
      </c>
    </row>
  </sheetData>
  <mergeCells count="3">
    <mergeCell ref="A1:V1"/>
    <mergeCell ref="AH13:AK13"/>
    <mergeCell ref="AH12:AK12"/>
  </mergeCells>
  <dataValidations count="4">
    <dataValidation type="list" allowBlank="1" showInputMessage="1" showErrorMessage="1" sqref="U3:U15">
      <formula1>$AI$5:$AM$5</formula1>
    </dataValidation>
    <dataValidation type="list" allowBlank="1" showInputMessage="1" showErrorMessage="1" sqref="K3:K15">
      <formula1>$XEW$1048575:$XEW$1048576</formula1>
    </dataValidation>
    <dataValidation type="list" allowBlank="1" showInputMessage="1" showErrorMessage="1" sqref="K1">
      <formula1>$XEW$1048505:$XEW$1048576</formula1>
    </dataValidation>
    <dataValidation type="list" allowBlank="1" showInputMessage="1" showErrorMessage="1" sqref="U1">
      <formula1>#REF!</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3"/>
  <sheetViews>
    <sheetView zoomScale="80" zoomScaleNormal="80" workbookViewId="0">
      <pane xSplit="3" ySplit="3" topLeftCell="AA4" activePane="bottomRight" state="frozen"/>
      <selection pane="topRight" activeCell="D1" sqref="D1"/>
      <selection pane="bottomLeft" activeCell="A2" sqref="A2"/>
      <selection pane="bottomRight" activeCell="AK13" sqref="AK13"/>
    </sheetView>
  </sheetViews>
  <sheetFormatPr baseColWidth="10" defaultColWidth="9.140625" defaultRowHeight="15" x14ac:dyDescent="0.25"/>
  <cols>
    <col min="1" max="1" width="16.140625" customWidth="1"/>
    <col min="2" max="2" width="10.42578125" customWidth="1"/>
    <col min="3" max="3" width="12.140625" customWidth="1"/>
    <col min="4" max="11" width="10.5703125" customWidth="1"/>
    <col min="12" max="12" width="10.5703125" style="111" customWidth="1"/>
    <col min="13" max="22" width="10.5703125" customWidth="1"/>
    <col min="23" max="23" width="24.5703125" bestFit="1" customWidth="1"/>
    <col min="24" max="24" width="22.7109375" bestFit="1" customWidth="1"/>
    <col min="25" max="25" width="23.7109375" bestFit="1" customWidth="1"/>
    <col min="26" max="26" width="13.7109375" customWidth="1"/>
    <col min="27" max="27" width="12.7109375" customWidth="1"/>
    <col min="28" max="28" width="18.28515625" customWidth="1"/>
    <col min="29" max="29" width="17.28515625" customWidth="1"/>
    <col min="30" max="30" width="18.7109375" bestFit="1" customWidth="1"/>
    <col min="31" max="31" width="13.85546875" customWidth="1"/>
    <col min="32" max="32" width="11.42578125" customWidth="1"/>
    <col min="33" max="33" width="11.5703125" customWidth="1"/>
    <col min="34" max="34" width="18.85546875" style="109" customWidth="1"/>
    <col min="36" max="36" width="38.7109375" bestFit="1" customWidth="1"/>
  </cols>
  <sheetData>
    <row r="1" spans="1:38" ht="87" customHeight="1" x14ac:dyDescent="0.25">
      <c r="A1" s="171" t="s">
        <v>43</v>
      </c>
      <c r="B1" s="172"/>
      <c r="C1" s="172"/>
      <c r="D1" s="172"/>
      <c r="E1" s="172"/>
      <c r="F1" s="172"/>
      <c r="G1" s="172"/>
      <c r="H1" s="172"/>
      <c r="I1" s="172"/>
      <c r="J1" s="172"/>
      <c r="K1" s="172"/>
      <c r="L1" s="172"/>
      <c r="M1" s="172"/>
      <c r="N1" s="172"/>
      <c r="O1" s="172"/>
      <c r="P1" s="172"/>
      <c r="Q1" s="172"/>
      <c r="R1" s="172"/>
      <c r="S1" s="172"/>
      <c r="T1" s="172"/>
      <c r="U1" s="172"/>
      <c r="V1" s="173"/>
      <c r="W1" s="19" t="s">
        <v>176</v>
      </c>
      <c r="X1" s="22" t="s">
        <v>175</v>
      </c>
      <c r="Y1" s="19" t="s">
        <v>174</v>
      </c>
      <c r="Z1" s="20" t="s">
        <v>173</v>
      </c>
      <c r="AA1" s="20" t="s">
        <v>172</v>
      </c>
      <c r="AB1" s="23" t="s">
        <v>177</v>
      </c>
      <c r="AC1" s="21" t="s">
        <v>178</v>
      </c>
      <c r="AD1" s="15" t="s">
        <v>171</v>
      </c>
      <c r="AE1" s="16" t="s">
        <v>167</v>
      </c>
      <c r="AF1" s="17" t="s">
        <v>168</v>
      </c>
      <c r="AG1" s="17" t="s">
        <v>169</v>
      </c>
      <c r="AH1" s="17" t="s">
        <v>170</v>
      </c>
    </row>
    <row r="2" spans="1:38" ht="96.75" customHeight="1" x14ac:dyDescent="0.25">
      <c r="A2" s="88" t="s">
        <v>10</v>
      </c>
      <c r="B2" s="88" t="s">
        <v>4</v>
      </c>
      <c r="C2" s="88" t="s">
        <v>5</v>
      </c>
      <c r="D2" s="88" t="s">
        <v>6</v>
      </c>
      <c r="E2" s="88" t="s">
        <v>7</v>
      </c>
      <c r="F2" s="88" t="s">
        <v>13</v>
      </c>
      <c r="G2" s="88" t="s">
        <v>14</v>
      </c>
      <c r="H2" s="88" t="s">
        <v>15</v>
      </c>
      <c r="I2" s="88" t="s">
        <v>16</v>
      </c>
      <c r="J2" s="88" t="s">
        <v>17</v>
      </c>
      <c r="K2" s="88" t="s">
        <v>18</v>
      </c>
      <c r="L2" s="88" t="s">
        <v>44</v>
      </c>
      <c r="M2" s="88" t="s">
        <v>8</v>
      </c>
      <c r="N2" s="88" t="s">
        <v>9</v>
      </c>
      <c r="O2" s="88" t="s">
        <v>19</v>
      </c>
      <c r="P2" s="88" t="s">
        <v>20</v>
      </c>
      <c r="Q2" s="88" t="s">
        <v>21</v>
      </c>
      <c r="R2" s="88" t="s">
        <v>22</v>
      </c>
      <c r="S2" s="88" t="s">
        <v>23</v>
      </c>
      <c r="T2" s="88" t="s">
        <v>24</v>
      </c>
      <c r="U2" s="88" t="s">
        <v>33</v>
      </c>
      <c r="V2" s="88" t="s">
        <v>46</v>
      </c>
      <c r="W2" s="89" t="s">
        <v>42</v>
      </c>
      <c r="X2" s="89"/>
      <c r="Y2" s="89"/>
      <c r="Z2" s="90" t="s">
        <v>37</v>
      </c>
      <c r="AA2" s="90" t="s">
        <v>45</v>
      </c>
      <c r="AB2" s="91" t="s">
        <v>38</v>
      </c>
      <c r="AC2" s="92" t="s">
        <v>40</v>
      </c>
      <c r="AD2" s="93" t="s">
        <v>39</v>
      </c>
      <c r="AE2" s="94" t="s">
        <v>41</v>
      </c>
      <c r="AF2" s="95" t="s">
        <v>35</v>
      </c>
      <c r="AG2" s="96" t="s">
        <v>26</v>
      </c>
      <c r="AH2" s="97" t="s">
        <v>28</v>
      </c>
    </row>
    <row r="3" spans="1:38" ht="15" customHeight="1" x14ac:dyDescent="0.25">
      <c r="A3" s="12" t="str">
        <f>'Step 4 Simple Operating Margin'!A11</f>
        <v>Gambia</v>
      </c>
      <c r="B3" s="12">
        <f>'Step 4 Simple Operating Margin'!B11</f>
        <v>987</v>
      </c>
      <c r="C3" s="12" t="str">
        <f>'Step 4 Simple Operating Margin'!C11</f>
        <v>Kotu</v>
      </c>
      <c r="D3" s="12" t="str">
        <f>'Step 4 Simple Operating Margin'!D11</f>
        <v>NAWEC</v>
      </c>
      <c r="E3" s="12" t="str">
        <f>'Step 4 Simple Operating Margin'!E11</f>
        <v>GBA</v>
      </c>
      <c r="F3" s="12" t="str">
        <f>'Step 4 Simple Operating Margin'!F11</f>
        <v>Y</v>
      </c>
      <c r="G3" s="12" t="str">
        <f>'Step 4 Simple Operating Margin'!G11</f>
        <v>N</v>
      </c>
      <c r="H3" s="12" t="str">
        <f>'Step 4 Simple Operating Margin'!H11</f>
        <v>33kv</v>
      </c>
      <c r="I3" s="12" t="str">
        <f>'Step 4 Simple Operating Margin'!I11</f>
        <v>20mva</v>
      </c>
      <c r="J3" s="12" t="str">
        <f>'Step 4 Simple Operating Margin'!J11</f>
        <v>Thermal</v>
      </c>
      <c r="K3" s="12" t="str">
        <f>'Step 4 Simple Operating Margin'!K11</f>
        <v>Diesel</v>
      </c>
      <c r="L3" s="12">
        <f>'Step 4 Simple Operating Margin'!L11</f>
        <v>1981</v>
      </c>
      <c r="M3" s="12" t="str">
        <f>'Step 4 Simple Operating Margin'!M11</f>
        <v>9.4mw</v>
      </c>
      <c r="N3" s="12" t="str">
        <f>'Step 4 Simple Operating Margin'!N11</f>
        <v>6.4mw</v>
      </c>
      <c r="O3" s="12">
        <f>'Step 4 Simple Operating Margin'!O11</f>
        <v>1990</v>
      </c>
      <c r="P3" s="12">
        <f>'Step 4 Simple Operating Margin'!P11</f>
        <v>12.9</v>
      </c>
      <c r="Q3" s="12" t="str">
        <f>'Step 4 Simple Operating Margin'!Q11</f>
        <v>8 units</v>
      </c>
      <c r="R3" s="12" t="str">
        <f>'Step 4 Simple Operating Margin'!R11</f>
        <v>3,3,3.4,6.4,6.4,6.4,6.4,6.4</v>
      </c>
      <c r="S3" s="12" t="str">
        <f>'Step 4 Simple Operating Margin'!S11</f>
        <v>N</v>
      </c>
      <c r="T3" s="12" t="str">
        <f>'Step 4 Simple Operating Margin'!T11</f>
        <v>N</v>
      </c>
      <c r="U3" s="12">
        <f>'Step 4 Simple Operating Margin'!U11</f>
        <v>2012</v>
      </c>
      <c r="V3" s="12" t="str">
        <f>'Step 4 Simple Operating Margin'!V11</f>
        <v>N</v>
      </c>
      <c r="W3" s="100">
        <f>'Step 4 Simple Operating Margin'!W11</f>
        <v>102009</v>
      </c>
      <c r="X3" s="40">
        <f>W3/$W$8</f>
        <v>0.49511721593942631</v>
      </c>
      <c r="Y3" s="40">
        <f>X3+Y5</f>
        <v>0.49511721593942631</v>
      </c>
      <c r="Z3" s="101"/>
      <c r="AA3" s="101"/>
      <c r="AB3" s="104"/>
      <c r="AC3" s="103"/>
      <c r="AD3" s="30">
        <f>'Step 4 Simple Operating Margin'!AB11</f>
        <v>0.5681739130434782</v>
      </c>
      <c r="AE3" s="102">
        <f>'Step 4 Simple Operating Margin'!AC11</f>
        <v>57958.852695652167</v>
      </c>
      <c r="AF3" s="107">
        <f>'Step 4 Simple Operating Margin'!AD11</f>
        <v>41.4</v>
      </c>
      <c r="AG3" s="107">
        <f>'Step 4 Simple Operating Margin'!AE11</f>
        <v>7.2599999999999998E-2</v>
      </c>
      <c r="AH3" s="107">
        <f>'Step 4 Simple Operating Margin'!AF11</f>
        <v>0.46</v>
      </c>
    </row>
    <row r="4" spans="1:38" ht="15" customHeight="1" x14ac:dyDescent="0.25">
      <c r="A4" s="12" t="str">
        <f>'Step 4 Simple Operating Margin'!A13</f>
        <v>Gambia</v>
      </c>
      <c r="B4" s="12">
        <f>'Step 4 Simple Operating Margin'!B13</f>
        <v>988</v>
      </c>
      <c r="C4" s="12" t="str">
        <f>'Step 4 Simple Operating Margin'!C13</f>
        <v>Brikama 1</v>
      </c>
      <c r="D4" s="12" t="str">
        <f>'Step 4 Simple Operating Margin'!D13</f>
        <v>NAWEC</v>
      </c>
      <c r="E4" s="12" t="str">
        <f>'Step 4 Simple Operating Margin'!E13</f>
        <v>WCR</v>
      </c>
      <c r="F4" s="12" t="str">
        <f>'Step 4 Simple Operating Margin'!F13</f>
        <v>Y</v>
      </c>
      <c r="G4" s="12" t="str">
        <f>'Step 4 Simple Operating Margin'!G13</f>
        <v>N</v>
      </c>
      <c r="H4" s="12" t="str">
        <f>'Step 4 Simple Operating Margin'!H13</f>
        <v>33kv</v>
      </c>
      <c r="I4" s="12" t="str">
        <f>'Step 4 Simple Operating Margin'!I13</f>
        <v>20mva</v>
      </c>
      <c r="J4" s="12" t="str">
        <f>'Step 4 Simple Operating Margin'!J13</f>
        <v>Thermal</v>
      </c>
      <c r="K4" s="12" t="str">
        <f>'Step 4 Simple Operating Margin'!K13</f>
        <v>Diesel</v>
      </c>
      <c r="L4" s="12">
        <f>'Step 4 Simple Operating Margin'!L13</f>
        <v>2006</v>
      </c>
      <c r="M4" s="12" t="str">
        <f>'Step 4 Simple Operating Margin'!M13</f>
        <v>26mw</v>
      </c>
      <c r="N4" s="12" t="str">
        <f>'Step 4 Simple Operating Margin'!N13</f>
        <v>12.8mw</v>
      </c>
      <c r="O4" s="12">
        <f>'Step 4 Simple Operating Margin'!O13</f>
        <v>2013</v>
      </c>
      <c r="P4" s="12">
        <f>'Step 4 Simple Operating Margin'!P13</f>
        <v>26</v>
      </c>
      <c r="Q4" s="12" t="str">
        <f>'Step 4 Simple Operating Margin'!Q13</f>
        <v>6 units</v>
      </c>
      <c r="R4" s="12" t="str">
        <f>'Step 4 Simple Operating Margin'!R13</f>
        <v>6.5,6.5,6.5,6.5,6.4,6.4</v>
      </c>
      <c r="S4" s="12" t="str">
        <f>'Step 4 Simple Operating Margin'!S13</f>
        <v>N</v>
      </c>
      <c r="T4" s="12" t="str">
        <f>'Step 4 Simple Operating Margin'!T13</f>
        <v>N</v>
      </c>
      <c r="U4" s="12">
        <f>'Step 4 Simple Operating Margin'!U13</f>
        <v>2012</v>
      </c>
      <c r="V4" s="12" t="str">
        <f>'Step 4 Simple Operating Margin'!V13</f>
        <v>N</v>
      </c>
      <c r="W4" s="100">
        <f>'Step 4 Simple Operating Margin'!W13</f>
        <v>104021</v>
      </c>
      <c r="X4" s="40">
        <f>W4/$W$8</f>
        <v>0.50488278406057374</v>
      </c>
      <c r="Y4" s="40">
        <f>X4+Y3</f>
        <v>1</v>
      </c>
      <c r="Z4" s="101"/>
      <c r="AA4" s="101"/>
      <c r="AB4" s="104"/>
      <c r="AC4" s="103"/>
      <c r="AD4" s="30">
        <f>'Step 4 Simple Operating Margin'!AB13</f>
        <v>0.5681739130434782</v>
      </c>
      <c r="AE4" s="102">
        <f>'Step 4 Simple Operating Margin'!AC13</f>
        <v>59102.018608695646</v>
      </c>
      <c r="AF4" s="107">
        <f>'Step 4 Simple Operating Margin'!AD13</f>
        <v>41.4</v>
      </c>
      <c r="AG4" s="107">
        <f>'Step 4 Simple Operating Margin'!AE13</f>
        <v>7.2599999999999998E-2</v>
      </c>
      <c r="AH4" s="107">
        <f>'Step 4 Simple Operating Margin'!AF13</f>
        <v>0.46</v>
      </c>
      <c r="AJ4" s="156">
        <f>U3</f>
        <v>2012</v>
      </c>
      <c r="AK4" s="117" t="s">
        <v>51</v>
      </c>
      <c r="AL4" s="117" t="s">
        <v>50</v>
      </c>
    </row>
    <row r="5" spans="1:38" s="62" customFormat="1" ht="15" customHeight="1" x14ac:dyDescent="0.25">
      <c r="A5" s="12"/>
      <c r="B5" s="12"/>
      <c r="C5" s="12"/>
      <c r="D5" s="12"/>
      <c r="E5" s="12"/>
      <c r="F5" s="12"/>
      <c r="G5" s="12"/>
      <c r="H5" s="12"/>
      <c r="I5" s="12"/>
      <c r="J5" s="12"/>
      <c r="K5" s="12"/>
      <c r="L5" s="110"/>
      <c r="M5" s="12"/>
      <c r="N5" s="12"/>
      <c r="O5" s="12"/>
      <c r="P5" s="12"/>
      <c r="Q5" s="12"/>
      <c r="R5" s="12"/>
      <c r="S5" s="12"/>
      <c r="T5" s="12"/>
      <c r="U5" s="12"/>
      <c r="V5" s="12"/>
      <c r="W5" s="100"/>
      <c r="X5" s="40"/>
      <c r="Y5" s="40"/>
      <c r="Z5" s="101"/>
      <c r="AA5" s="101"/>
      <c r="AB5" s="104"/>
      <c r="AC5" s="103"/>
      <c r="AD5" s="30"/>
      <c r="AE5" s="102"/>
      <c r="AF5" s="107"/>
      <c r="AG5" s="107"/>
      <c r="AH5" s="108"/>
      <c r="AJ5" s="113" t="s">
        <v>180</v>
      </c>
      <c r="AK5" s="114">
        <f>SUM($W$3:$W$6)</f>
        <v>206030</v>
      </c>
      <c r="AL5" s="114">
        <f>SUM($W$3)</f>
        <v>102009</v>
      </c>
    </row>
    <row r="6" spans="1:38" ht="15" customHeight="1" x14ac:dyDescent="0.25">
      <c r="A6" s="12"/>
      <c r="B6" s="12"/>
      <c r="C6" s="12"/>
      <c r="D6" s="12"/>
      <c r="E6" s="12"/>
      <c r="F6" s="12"/>
      <c r="G6" s="12"/>
      <c r="H6" s="12"/>
      <c r="I6" s="12"/>
      <c r="J6" s="12"/>
      <c r="K6" s="12"/>
      <c r="L6" s="110"/>
      <c r="M6" s="12"/>
      <c r="N6" s="12"/>
      <c r="O6" s="12"/>
      <c r="P6" s="12"/>
      <c r="Q6" s="12"/>
      <c r="R6" s="12"/>
      <c r="S6" s="12"/>
      <c r="T6" s="12"/>
      <c r="U6" s="12"/>
      <c r="V6" s="12"/>
      <c r="W6" s="100"/>
      <c r="X6" s="40"/>
      <c r="Y6" s="40"/>
      <c r="Z6" s="101"/>
      <c r="AA6" s="101"/>
      <c r="AB6" s="104"/>
      <c r="AC6" s="103"/>
      <c r="AD6" s="30"/>
      <c r="AE6" s="102"/>
      <c r="AF6" s="107"/>
      <c r="AG6" s="107"/>
      <c r="AH6" s="108"/>
      <c r="AJ6" s="115" t="s">
        <v>181</v>
      </c>
      <c r="AK6" s="116">
        <f>SUM(AE3:AE4)</f>
        <v>117060.87130434782</v>
      </c>
      <c r="AL6" s="116">
        <f>AE3</f>
        <v>57958.852695652167</v>
      </c>
    </row>
    <row r="7" spans="1:38" x14ac:dyDescent="0.25">
      <c r="AJ7" s="115" t="s">
        <v>145</v>
      </c>
      <c r="AK7" s="115">
        <f>0.1*AK5</f>
        <v>20603</v>
      </c>
      <c r="AL7" s="115">
        <f>0.1*AL5</f>
        <v>10200.900000000001</v>
      </c>
    </row>
    <row r="8" spans="1:38" x14ac:dyDescent="0.25">
      <c r="W8" s="48">
        <f>SUM(W3:W6)</f>
        <v>206030</v>
      </c>
      <c r="AJ8" s="115" t="s">
        <v>146</v>
      </c>
      <c r="AK8" s="115">
        <f>AK7*0.8</f>
        <v>16482.400000000001</v>
      </c>
      <c r="AL8" s="115">
        <f>AL7*0.8</f>
        <v>8160.7200000000012</v>
      </c>
    </row>
    <row r="9" spans="1:38" x14ac:dyDescent="0.25">
      <c r="AJ9" s="161" t="s">
        <v>147</v>
      </c>
      <c r="AK9" s="162">
        <f>SUM($AE$3:$AE$6)/$AK$5</f>
        <v>0.5681739130434782</v>
      </c>
      <c r="AL9" s="162">
        <f>SUM($AE$3)/$AL$5</f>
        <v>0.5681739130434782</v>
      </c>
    </row>
    <row r="10" spans="1:38" x14ac:dyDescent="0.25">
      <c r="AJ10" s="163" t="s">
        <v>148</v>
      </c>
      <c r="AK10" s="164">
        <f>(AK6+AK8)/(AK5+AK7)</f>
        <v>0.58924901185770751</v>
      </c>
      <c r="AL10" s="164">
        <f>(AL6+AL8)/(AL5+AL7)</f>
        <v>0.58924901185770751</v>
      </c>
    </row>
    <row r="12" spans="1:38" x14ac:dyDescent="0.25">
      <c r="AJ12" s="157" t="s">
        <v>185</v>
      </c>
      <c r="AK12" s="159">
        <f>IF(AK5&gt;AL5,AK9,AL9)</f>
        <v>0.5681739130434782</v>
      </c>
    </row>
    <row r="13" spans="1:38" x14ac:dyDescent="0.25">
      <c r="AJ13" s="158" t="s">
        <v>186</v>
      </c>
      <c r="AK13" s="160">
        <f>IF(AK5&gt;AL5,AK10,AL10)</f>
        <v>0.58924901185770751</v>
      </c>
    </row>
  </sheetData>
  <sortState ref="A4:AI74">
    <sortCondition descending="1" ref="L1"/>
  </sortState>
  <mergeCells count="1">
    <mergeCell ref="A1:V1"/>
  </mergeCells>
  <dataValidations disablePrompts="1" count="4">
    <dataValidation type="list" allowBlank="1" showInputMessage="1" showErrorMessage="1" sqref="U2">
      <formula1>$C$5:$G$5</formula1>
    </dataValidation>
    <dataValidation type="list" allowBlank="1" showInputMessage="1" showErrorMessage="1" sqref="U1">
      <formula1>#REF!</formula1>
    </dataValidation>
    <dataValidation type="list" allowBlank="1" showInputMessage="1" showErrorMessage="1" sqref="K1">
      <formula1>$XEZ$1048505:$XEZ$1048576</formula1>
    </dataValidation>
    <dataValidation type="list" allowBlank="1" showInputMessage="1" showErrorMessage="1" sqref="K2">
      <formula1>$XFB$1048478:$XFD$1048576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6"/>
  <sheetViews>
    <sheetView workbookViewId="0">
      <selection activeCell="B2" sqref="B2:B3"/>
    </sheetView>
  </sheetViews>
  <sheetFormatPr baseColWidth="10" defaultColWidth="9.140625" defaultRowHeight="15" x14ac:dyDescent="0.25"/>
  <cols>
    <col min="2" max="2" width="27.7109375" bestFit="1" customWidth="1"/>
    <col min="3" max="3" width="10.7109375" customWidth="1"/>
    <col min="4" max="4" width="10.28515625" customWidth="1"/>
    <col min="5" max="5" width="11.5703125" bestFit="1" customWidth="1"/>
    <col min="6" max="6" width="5.42578125" customWidth="1"/>
    <col min="7" max="7" width="5.5703125" customWidth="1"/>
    <col min="11" max="11" width="5.85546875" customWidth="1"/>
    <col min="12" max="12" width="6.28515625" customWidth="1"/>
  </cols>
  <sheetData>
    <row r="2" spans="2:12" ht="15.75" thickBot="1" x14ac:dyDescent="0.3">
      <c r="B2" s="182" t="s">
        <v>157</v>
      </c>
      <c r="C2" s="181" t="s">
        <v>143</v>
      </c>
      <c r="D2" s="181"/>
      <c r="E2" s="181"/>
      <c r="F2" s="181"/>
      <c r="G2" s="181"/>
      <c r="H2" s="180" t="s">
        <v>144</v>
      </c>
      <c r="I2" s="180"/>
      <c r="J2" s="180"/>
      <c r="K2" s="180"/>
      <c r="L2" s="180"/>
    </row>
    <row r="3" spans="2:12" x14ac:dyDescent="0.25">
      <c r="B3" s="182"/>
      <c r="C3" s="120" t="s">
        <v>54</v>
      </c>
      <c r="D3" s="121" t="s">
        <v>55</v>
      </c>
      <c r="E3" s="125" t="s">
        <v>56</v>
      </c>
      <c r="F3" s="119" t="s">
        <v>52</v>
      </c>
      <c r="G3" s="119" t="s">
        <v>53</v>
      </c>
      <c r="H3" s="122" t="s">
        <v>54</v>
      </c>
      <c r="I3" s="123" t="s">
        <v>55</v>
      </c>
      <c r="J3" s="126" t="s">
        <v>56</v>
      </c>
      <c r="K3" s="124" t="s">
        <v>52</v>
      </c>
      <c r="L3" s="124" t="s">
        <v>53</v>
      </c>
    </row>
    <row r="4" spans="2:12" x14ac:dyDescent="0.25">
      <c r="B4" s="127" t="s">
        <v>140</v>
      </c>
      <c r="C4" s="128">
        <f>'Step 4 Simple Operating Margin'!AL13</f>
        <v>0.58924901185770739</v>
      </c>
      <c r="D4" s="129">
        <f>'Step 5 Build Margin'!$AK$13</f>
        <v>0.58924901185770751</v>
      </c>
      <c r="E4" s="130">
        <f>(C4*F4)+(D4*G4)</f>
        <v>0.58924901185770739</v>
      </c>
      <c r="F4" s="131">
        <v>0.75</v>
      </c>
      <c r="G4" s="131">
        <v>0.25</v>
      </c>
      <c r="H4" s="132">
        <f>'Step 4 Simple Operating Margin'!$AL$12</f>
        <v>0.56817391304347808</v>
      </c>
      <c r="I4" s="133">
        <f>'Step 5 Build Margin'!$AK$12</f>
        <v>0.5681739130434782</v>
      </c>
      <c r="J4" s="130">
        <f>(H4*K4)+(I4*L4)</f>
        <v>0.5681739130434782</v>
      </c>
      <c r="K4" s="131">
        <v>0.75</v>
      </c>
      <c r="L4" s="134">
        <v>0.25</v>
      </c>
    </row>
    <row r="5" spans="2:12" x14ac:dyDescent="0.25">
      <c r="B5" s="135" t="s">
        <v>141</v>
      </c>
      <c r="C5" s="128">
        <f>'Step 4 Simple Operating Margin'!AL13</f>
        <v>0.58924901185770739</v>
      </c>
      <c r="D5" s="129">
        <f>'Step 5 Build Margin'!$AK$13</f>
        <v>0.58924901185770751</v>
      </c>
      <c r="E5" s="130">
        <f t="shared" ref="E5:E6" si="0">(C5*F5)+(D5*G5)</f>
        <v>0.58924901185770739</v>
      </c>
      <c r="F5" s="131">
        <v>0.5</v>
      </c>
      <c r="G5" s="131">
        <v>0.5</v>
      </c>
      <c r="H5" s="132">
        <f>'Step 4 Simple Operating Margin'!$AL$12</f>
        <v>0.56817391304347808</v>
      </c>
      <c r="I5" s="133">
        <f>'Step 5 Build Margin'!$AK$12</f>
        <v>0.5681739130434782</v>
      </c>
      <c r="J5" s="130">
        <f t="shared" ref="J5:J6" si="1">(H5*K5)+(I5*L5)</f>
        <v>0.5681739130434782</v>
      </c>
      <c r="K5" s="131">
        <v>0.25</v>
      </c>
      <c r="L5" s="134">
        <v>0.75</v>
      </c>
    </row>
    <row r="6" spans="2:12" x14ac:dyDescent="0.25">
      <c r="B6" s="136" t="s">
        <v>142</v>
      </c>
      <c r="C6" s="128">
        <f>'Step 4 Simple Operating Margin'!AL12</f>
        <v>0.56817391304347808</v>
      </c>
      <c r="D6" s="129">
        <f>'Step 5 Build Margin'!$AK$12</f>
        <v>0.5681739130434782</v>
      </c>
      <c r="E6" s="130">
        <f t="shared" si="0"/>
        <v>0.5681739130434782</v>
      </c>
      <c r="F6" s="131">
        <v>0.5</v>
      </c>
      <c r="G6" s="131">
        <v>0.5</v>
      </c>
      <c r="H6" s="132">
        <f>'Step 4 Simple Operating Margin'!$AL$12</f>
        <v>0.56817391304347808</v>
      </c>
      <c r="I6" s="133">
        <f>'Step 5 Build Margin'!$AK$12</f>
        <v>0.5681739130434782</v>
      </c>
      <c r="J6" s="130">
        <f t="shared" si="1"/>
        <v>0.5681739130434782</v>
      </c>
      <c r="K6" s="131">
        <v>0.25</v>
      </c>
      <c r="L6" s="134">
        <v>0.75</v>
      </c>
    </row>
  </sheetData>
  <mergeCells count="3">
    <mergeCell ref="H2:L2"/>
    <mergeCell ref="C2:G2"/>
    <mergeCell ref="B2:B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workbookViewId="0">
      <selection activeCell="D6" sqref="D6"/>
    </sheetView>
  </sheetViews>
  <sheetFormatPr baseColWidth="10" defaultColWidth="9.140625" defaultRowHeight="15" x14ac:dyDescent="0.25"/>
  <cols>
    <col min="1" max="1" width="12.140625" bestFit="1" customWidth="1"/>
    <col min="2" max="3" width="7" bestFit="1" customWidth="1"/>
    <col min="4" max="4" width="10" bestFit="1" customWidth="1"/>
    <col min="5" max="5" width="11.140625" bestFit="1" customWidth="1"/>
    <col min="7" max="7" width="28.42578125" bestFit="1" customWidth="1"/>
    <col min="8" max="8" width="9.28515625" bestFit="1" customWidth="1"/>
    <col min="9" max="9" width="13.140625" bestFit="1" customWidth="1"/>
    <col min="10" max="10" width="11" bestFit="1" customWidth="1"/>
    <col min="12" max="12" width="12" bestFit="1" customWidth="1"/>
    <col min="14" max="14" width="10.28515625" bestFit="1" customWidth="1"/>
  </cols>
  <sheetData>
    <row r="1" spans="1:14" x14ac:dyDescent="0.25">
      <c r="A1" s="9" t="s">
        <v>31</v>
      </c>
      <c r="B1" s="1" t="s">
        <v>29</v>
      </c>
      <c r="C1" s="1" t="s">
        <v>30</v>
      </c>
      <c r="D1" s="1" t="s">
        <v>0</v>
      </c>
      <c r="E1" s="1" t="s">
        <v>32</v>
      </c>
      <c r="H1" s="1" t="s">
        <v>112</v>
      </c>
      <c r="I1" s="1" t="s">
        <v>113</v>
      </c>
      <c r="J1" s="1" t="s">
        <v>116</v>
      </c>
      <c r="K1" s="1" t="s">
        <v>113</v>
      </c>
      <c r="L1" s="1" t="s">
        <v>137</v>
      </c>
      <c r="M1" s="81" t="s">
        <v>113</v>
      </c>
      <c r="N1" s="81" t="s">
        <v>138</v>
      </c>
    </row>
    <row r="2" spans="1:14" x14ac:dyDescent="0.25">
      <c r="A2" s="1" t="s">
        <v>48</v>
      </c>
      <c r="B2" s="8">
        <v>24</v>
      </c>
      <c r="C2" s="8">
        <v>39.799999999999997</v>
      </c>
      <c r="D2" s="8">
        <v>41.4</v>
      </c>
      <c r="E2" s="8">
        <v>46.5</v>
      </c>
      <c r="G2" s="1" t="s">
        <v>179</v>
      </c>
      <c r="H2" s="8">
        <v>10</v>
      </c>
      <c r="I2" s="80" t="s">
        <v>117</v>
      </c>
      <c r="J2" s="8">
        <f>H2*365*1000000</f>
        <v>3650000000</v>
      </c>
      <c r="K2" s="79" t="s">
        <v>115</v>
      </c>
      <c r="L2" s="8">
        <f>J2*0.028316846599473</f>
        <v>103356490.08807644</v>
      </c>
      <c r="M2" s="79" t="s">
        <v>114</v>
      </c>
      <c r="N2" s="8">
        <f>L2/1250</f>
        <v>82685.192070461155</v>
      </c>
    </row>
    <row r="3" spans="1:14" x14ac:dyDescent="0.25">
      <c r="A3" s="1" t="s">
        <v>49</v>
      </c>
      <c r="B3" s="8">
        <v>8.7300000000000003E-2</v>
      </c>
      <c r="C3" s="8">
        <v>7.5499999999999998E-2</v>
      </c>
      <c r="D3" s="8">
        <v>7.2599999999999998E-2</v>
      </c>
      <c r="E3" s="8">
        <v>5.4300000000000001E-2</v>
      </c>
    </row>
    <row r="4" spans="1:14" x14ac:dyDescent="0.25">
      <c r="A4" s="1" t="s">
        <v>27</v>
      </c>
      <c r="B4" s="11">
        <v>0.5</v>
      </c>
      <c r="C4" s="11">
        <v>0.46</v>
      </c>
      <c r="D4" s="11">
        <v>0.46</v>
      </c>
      <c r="E4" s="11">
        <v>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Cover page</vt:lpstr>
      <vt:lpstr>Step 1 Electricity System</vt:lpstr>
      <vt:lpstr>Step 2 Off-grid</vt:lpstr>
      <vt:lpstr>Step 3 LCMR</vt:lpstr>
      <vt:lpstr>Step 4 Simple Operating Margin</vt:lpstr>
      <vt:lpstr>Step 5 Build Margin</vt:lpstr>
      <vt:lpstr>Step 6 - Combined Margin</vt:lpstr>
      <vt:lpstr>IPCC Values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pvanhout</dc:creator>
  <cp:lastModifiedBy>Alexandre DUNOD</cp:lastModifiedBy>
  <dcterms:created xsi:type="dcterms:W3CDTF">2014-05-20T13:50:52Z</dcterms:created>
  <dcterms:modified xsi:type="dcterms:W3CDTF">2014-12-08T21:28:41Z</dcterms:modified>
</cp:coreProperties>
</file>