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220" yWindow="315" windowWidth="22950" windowHeight="12510" tabRatio="482" activeTab="2"/>
  </bookViews>
  <sheets>
    <sheet name="Sheet1" sheetId="10" r:id="rId1"/>
    <sheet name="Sample" sheetId="8" r:id="rId2"/>
    <sheet name="Tech3, Tech4, leakage" sheetId="9" r:id="rId3"/>
    <sheet name="Survey" sheetId="12" r:id="rId4"/>
  </sheets>
  <definedNames>
    <definedName name="_xlnm._FilterDatabase" localSheetId="1" hidden="1">Sample!$A$2:$M$69</definedName>
    <definedName name="_xlnm._FilterDatabase" localSheetId="3" hidden="1">Survey!$B$3:$E$70</definedName>
    <definedName name="_xlnm._FilterDatabase" localSheetId="2" hidden="1">'Tech3, Tech4, leakage'!$A$2:$X$29</definedName>
  </definedNames>
  <calcPr calcId="125725"/>
</workbook>
</file>

<file path=xl/calcChain.xml><?xml version="1.0" encoding="utf-8"?>
<calcChain xmlns="http://schemas.openxmlformats.org/spreadsheetml/2006/main">
  <c r="B58" i="9"/>
  <c r="B57"/>
  <c r="B56"/>
  <c r="K4"/>
  <c r="K5"/>
  <c r="K6"/>
  <c r="K7"/>
  <c r="K8"/>
  <c r="K9"/>
  <c r="K10"/>
  <c r="K11"/>
  <c r="K12"/>
  <c r="K13"/>
  <c r="K14"/>
  <c r="K15"/>
  <c r="K16"/>
  <c r="K17"/>
  <c r="K18"/>
  <c r="K19"/>
  <c r="K20"/>
  <c r="K21"/>
  <c r="K22"/>
  <c r="K23"/>
  <c r="K24"/>
  <c r="K25"/>
  <c r="K26"/>
  <c r="K3"/>
  <c r="B55"/>
  <c r="Q32"/>
  <c r="J28"/>
  <c r="C28"/>
  <c r="B50"/>
  <c r="B51" s="1"/>
  <c r="C44"/>
  <c r="C53" l="1"/>
  <c r="B53"/>
  <c r="L25"/>
  <c r="L4"/>
  <c r="L5"/>
  <c r="L6"/>
  <c r="L7"/>
  <c r="M7" s="1"/>
  <c r="P7" s="1"/>
  <c r="L8"/>
  <c r="L9"/>
  <c r="L10"/>
  <c r="L11"/>
  <c r="L12"/>
  <c r="L13"/>
  <c r="L14"/>
  <c r="L15"/>
  <c r="M15" s="1"/>
  <c r="P15" s="1"/>
  <c r="L16"/>
  <c r="L17"/>
  <c r="L18"/>
  <c r="L19"/>
  <c r="L20"/>
  <c r="L21"/>
  <c r="L22"/>
  <c r="L23"/>
  <c r="M23" s="1"/>
  <c r="P23" s="1"/>
  <c r="L24"/>
  <c r="L26"/>
  <c r="L3"/>
  <c r="M3" s="1"/>
  <c r="P3" s="1"/>
  <c r="N19" l="1"/>
  <c r="O19" s="1"/>
  <c r="M19"/>
  <c r="P19" s="1"/>
  <c r="N11"/>
  <c r="O11" s="1"/>
  <c r="M11"/>
  <c r="P11" s="1"/>
  <c r="N25"/>
  <c r="O25" s="1"/>
  <c r="M25"/>
  <c r="P25" s="1"/>
  <c r="N24"/>
  <c r="O24" s="1"/>
  <c r="M24"/>
  <c r="P24" s="1"/>
  <c r="N20"/>
  <c r="O20" s="1"/>
  <c r="M20"/>
  <c r="P20" s="1"/>
  <c r="N16"/>
  <c r="O16" s="1"/>
  <c r="M16"/>
  <c r="P16" s="1"/>
  <c r="N12"/>
  <c r="O12" s="1"/>
  <c r="M12"/>
  <c r="P12" s="1"/>
  <c r="N8"/>
  <c r="O8" s="1"/>
  <c r="M8"/>
  <c r="P8" s="1"/>
  <c r="N4"/>
  <c r="O4" s="1"/>
  <c r="M4"/>
  <c r="P4" s="1"/>
  <c r="N26"/>
  <c r="O26" s="1"/>
  <c r="M26"/>
  <c r="P26" s="1"/>
  <c r="N21"/>
  <c r="O21" s="1"/>
  <c r="M21"/>
  <c r="P21" s="1"/>
  <c r="N17"/>
  <c r="O17" s="1"/>
  <c r="M17"/>
  <c r="P17" s="1"/>
  <c r="N13"/>
  <c r="O13" s="1"/>
  <c r="M13"/>
  <c r="P13" s="1"/>
  <c r="N9"/>
  <c r="O9" s="1"/>
  <c r="M9"/>
  <c r="P9" s="1"/>
  <c r="N5"/>
  <c r="O5" s="1"/>
  <c r="M5"/>
  <c r="P5" s="1"/>
  <c r="N22"/>
  <c r="O22" s="1"/>
  <c r="M22"/>
  <c r="P22" s="1"/>
  <c r="N18"/>
  <c r="O18" s="1"/>
  <c r="M18"/>
  <c r="P18" s="1"/>
  <c r="N14"/>
  <c r="O14" s="1"/>
  <c r="M14"/>
  <c r="P14" s="1"/>
  <c r="N10"/>
  <c r="O10" s="1"/>
  <c r="M10"/>
  <c r="P10" s="1"/>
  <c r="N6"/>
  <c r="O6" s="1"/>
  <c r="M6"/>
  <c r="P6" s="1"/>
  <c r="N7"/>
  <c r="O7" s="1"/>
  <c r="N15"/>
  <c r="O15" s="1"/>
  <c r="N23"/>
  <c r="O23" s="1"/>
  <c r="L28"/>
  <c r="N3"/>
  <c r="C107" i="8"/>
  <c r="C108"/>
  <c r="C109" s="1"/>
  <c r="C110" s="1"/>
  <c r="P28" i="9" l="1"/>
  <c r="N28"/>
  <c r="N29"/>
  <c r="O3"/>
  <c r="D8" i="12" l="1"/>
  <c r="D12"/>
  <c r="D16"/>
  <c r="D20"/>
  <c r="D24"/>
  <c r="D28"/>
  <c r="D32"/>
  <c r="D36"/>
  <c r="D40"/>
  <c r="D44"/>
  <c r="D48"/>
  <c r="D52"/>
  <c r="D56"/>
  <c r="D60"/>
  <c r="D64"/>
  <c r="E66"/>
  <c r="F8" s="1"/>
  <c r="C66"/>
  <c r="D7" s="1"/>
  <c r="F65" l="1"/>
  <c r="F57"/>
  <c r="F53"/>
  <c r="F49"/>
  <c r="F45"/>
  <c r="F41"/>
  <c r="F37"/>
  <c r="F33"/>
  <c r="F29"/>
  <c r="F25"/>
  <c r="F21"/>
  <c r="F17"/>
  <c r="F13"/>
  <c r="F9"/>
  <c r="F5"/>
  <c r="D65"/>
  <c r="D61"/>
  <c r="D49"/>
  <c r="D41"/>
  <c r="D33"/>
  <c r="D29"/>
  <c r="D21"/>
  <c r="D13"/>
  <c r="D5"/>
  <c r="F58"/>
  <c r="F50"/>
  <c r="F46"/>
  <c r="F42"/>
  <c r="F34"/>
  <c r="F30"/>
  <c r="F26"/>
  <c r="F22"/>
  <c r="F18"/>
  <c r="F14"/>
  <c r="F10"/>
  <c r="F6"/>
  <c r="F4"/>
  <c r="D62"/>
  <c r="D58"/>
  <c r="D54"/>
  <c r="D50"/>
  <c r="D46"/>
  <c r="D42"/>
  <c r="D38"/>
  <c r="D34"/>
  <c r="D30"/>
  <c r="D26"/>
  <c r="D22"/>
  <c r="D18"/>
  <c r="D14"/>
  <c r="D10"/>
  <c r="D6"/>
  <c r="F63"/>
  <c r="F59"/>
  <c r="F55"/>
  <c r="F51"/>
  <c r="F47"/>
  <c r="F43"/>
  <c r="F39"/>
  <c r="F35"/>
  <c r="F31"/>
  <c r="F27"/>
  <c r="F23"/>
  <c r="F19"/>
  <c r="F15"/>
  <c r="F11"/>
  <c r="F7"/>
  <c r="F61"/>
  <c r="D57"/>
  <c r="D53"/>
  <c r="D45"/>
  <c r="D37"/>
  <c r="D25"/>
  <c r="D17"/>
  <c r="D9"/>
  <c r="F62"/>
  <c r="F54"/>
  <c r="F38"/>
  <c r="D4"/>
  <c r="D63"/>
  <c r="D59"/>
  <c r="D55"/>
  <c r="D51"/>
  <c r="D47"/>
  <c r="D43"/>
  <c r="D39"/>
  <c r="D35"/>
  <c r="D31"/>
  <c r="D27"/>
  <c r="D23"/>
  <c r="D19"/>
  <c r="D15"/>
  <c r="D11"/>
  <c r="F64"/>
  <c r="F60"/>
  <c r="F56"/>
  <c r="F52"/>
  <c r="F48"/>
  <c r="F44"/>
  <c r="F40"/>
  <c r="F36"/>
  <c r="F32"/>
  <c r="F28"/>
  <c r="F24"/>
  <c r="F20"/>
  <c r="F16"/>
  <c r="F12"/>
  <c r="C78" i="8" l="1"/>
  <c r="H78"/>
  <c r="U27" i="9" l="1"/>
  <c r="S27"/>
  <c r="R27"/>
  <c r="U26"/>
  <c r="S26"/>
  <c r="X26" s="1"/>
  <c r="R26"/>
  <c r="U25"/>
  <c r="S25"/>
  <c r="X25" s="1"/>
  <c r="R25"/>
  <c r="U24"/>
  <c r="S24"/>
  <c r="X24" s="1"/>
  <c r="R24"/>
  <c r="V24" s="1"/>
  <c r="U23"/>
  <c r="S23"/>
  <c r="X23" s="1"/>
  <c r="R23"/>
  <c r="U22"/>
  <c r="S22"/>
  <c r="X22" s="1"/>
  <c r="R22"/>
  <c r="U21"/>
  <c r="S21"/>
  <c r="X21" s="1"/>
  <c r="R21"/>
  <c r="U20"/>
  <c r="S20"/>
  <c r="X20" s="1"/>
  <c r="R20"/>
  <c r="U19"/>
  <c r="S19"/>
  <c r="X19" s="1"/>
  <c r="R19"/>
  <c r="U18"/>
  <c r="S18"/>
  <c r="X18" s="1"/>
  <c r="R18"/>
  <c r="U17"/>
  <c r="S17"/>
  <c r="X17" s="1"/>
  <c r="Y17" s="1"/>
  <c r="R17"/>
  <c r="U16"/>
  <c r="S16"/>
  <c r="X16" s="1"/>
  <c r="R16"/>
  <c r="U15"/>
  <c r="S15"/>
  <c r="X15" s="1"/>
  <c r="R15"/>
  <c r="U14"/>
  <c r="S14"/>
  <c r="X14" s="1"/>
  <c r="R14"/>
  <c r="U13"/>
  <c r="S13"/>
  <c r="X13" s="1"/>
  <c r="R13"/>
  <c r="U12"/>
  <c r="S12"/>
  <c r="X12" s="1"/>
  <c r="R12"/>
  <c r="U11"/>
  <c r="S11"/>
  <c r="X11" s="1"/>
  <c r="R11"/>
  <c r="V11" s="1"/>
  <c r="U10"/>
  <c r="S10"/>
  <c r="X10" s="1"/>
  <c r="R10"/>
  <c r="U9"/>
  <c r="S9"/>
  <c r="X9" s="1"/>
  <c r="R9"/>
  <c r="U8"/>
  <c r="S8"/>
  <c r="X8" s="1"/>
  <c r="R8"/>
  <c r="U7"/>
  <c r="S7"/>
  <c r="X7" s="1"/>
  <c r="R7"/>
  <c r="U6"/>
  <c r="S6"/>
  <c r="X6" s="1"/>
  <c r="R6"/>
  <c r="U5"/>
  <c r="S5"/>
  <c r="X5" s="1"/>
  <c r="Y5" s="1"/>
  <c r="R5"/>
  <c r="U4"/>
  <c r="S4"/>
  <c r="X4" s="1"/>
  <c r="R4"/>
  <c r="U3"/>
  <c r="S3"/>
  <c r="X3" s="1"/>
  <c r="R3"/>
  <c r="V21" l="1"/>
  <c r="V23"/>
  <c r="T14"/>
  <c r="T26"/>
  <c r="V16"/>
  <c r="Y6"/>
  <c r="Y26"/>
  <c r="R28"/>
  <c r="R32" s="1"/>
  <c r="T9"/>
  <c r="V13"/>
  <c r="Y18"/>
  <c r="T19"/>
  <c r="T20"/>
  <c r="Y23"/>
  <c r="T8"/>
  <c r="V10"/>
  <c r="Y19"/>
  <c r="Y20"/>
  <c r="Y24"/>
  <c r="X27"/>
  <c r="Y27" s="1"/>
  <c r="W27"/>
  <c r="Z27" s="1"/>
  <c r="T27"/>
  <c r="U28"/>
  <c r="W11"/>
  <c r="Z11" s="1"/>
  <c r="W14"/>
  <c r="Z14" s="1"/>
  <c r="V15"/>
  <c r="V18"/>
  <c r="T25"/>
  <c r="T3"/>
  <c r="V5"/>
  <c r="T7"/>
  <c r="Y8"/>
  <c r="T10"/>
  <c r="T12"/>
  <c r="T13"/>
  <c r="T15"/>
  <c r="V17"/>
  <c r="Y21"/>
  <c r="V26"/>
  <c r="Y4"/>
  <c r="T5"/>
  <c r="V8"/>
  <c r="Y10"/>
  <c r="Y12"/>
  <c r="Y13"/>
  <c r="Y15"/>
  <c r="Y16"/>
  <c r="T17"/>
  <c r="T23"/>
  <c r="T24"/>
  <c r="Y3"/>
  <c r="W4"/>
  <c r="Z4" s="1"/>
  <c r="V7"/>
  <c r="V9"/>
  <c r="V14"/>
  <c r="W16"/>
  <c r="Z16" s="1"/>
  <c r="W18"/>
  <c r="Z18" s="1"/>
  <c r="W21"/>
  <c r="Z21" s="1"/>
  <c r="V22"/>
  <c r="V25"/>
  <c r="V27"/>
  <c r="V4"/>
  <c r="W6"/>
  <c r="W8"/>
  <c r="Z8" s="1"/>
  <c r="W10"/>
  <c r="Z10" s="1"/>
  <c r="W13"/>
  <c r="Z13" s="1"/>
  <c r="W24"/>
  <c r="Z24" s="1"/>
  <c r="W26"/>
  <c r="Z26" s="1"/>
  <c r="S28"/>
  <c r="W3"/>
  <c r="W5"/>
  <c r="Z5" s="1"/>
  <c r="T11"/>
  <c r="W15"/>
  <c r="Z15" s="1"/>
  <c r="W17"/>
  <c r="Z17" s="1"/>
  <c r="W20"/>
  <c r="Z20" s="1"/>
  <c r="T22"/>
  <c r="V3"/>
  <c r="T4"/>
  <c r="T6"/>
  <c r="Y7"/>
  <c r="W7"/>
  <c r="Z7" s="1"/>
  <c r="Y9"/>
  <c r="W9"/>
  <c r="Z9" s="1"/>
  <c r="Y11"/>
  <c r="W12"/>
  <c r="Y14"/>
  <c r="T16"/>
  <c r="T18"/>
  <c r="W19"/>
  <c r="V20"/>
  <c r="T21"/>
  <c r="Y22"/>
  <c r="W22"/>
  <c r="Z22" s="1"/>
  <c r="W23"/>
  <c r="Z23" s="1"/>
  <c r="Y25"/>
  <c r="W25"/>
  <c r="Z25" s="1"/>
  <c r="K63" i="8"/>
  <c r="J63"/>
  <c r="K62"/>
  <c r="J62"/>
  <c r="K61"/>
  <c r="J61"/>
  <c r="K60"/>
  <c r="J60"/>
  <c r="K59"/>
  <c r="J59"/>
  <c r="K58"/>
  <c r="N60" s="1"/>
  <c r="J58"/>
  <c r="K57"/>
  <c r="J57"/>
  <c r="K56"/>
  <c r="J56"/>
  <c r="L55"/>
  <c r="K55"/>
  <c r="J55"/>
  <c r="K54"/>
  <c r="J54"/>
  <c r="K53"/>
  <c r="J53"/>
  <c r="K52"/>
  <c r="J52"/>
  <c r="K51"/>
  <c r="J51"/>
  <c r="K50"/>
  <c r="J50"/>
  <c r="K49"/>
  <c r="J49"/>
  <c r="K48"/>
  <c r="J48"/>
  <c r="K47"/>
  <c r="N47" s="1"/>
  <c r="J47"/>
  <c r="K46"/>
  <c r="J46"/>
  <c r="L64"/>
  <c r="N64" s="1"/>
  <c r="K64"/>
  <c r="J64"/>
  <c r="K45"/>
  <c r="J45"/>
  <c r="K44"/>
  <c r="J44"/>
  <c r="K43"/>
  <c r="J43"/>
  <c r="K42"/>
  <c r="J42"/>
  <c r="K41"/>
  <c r="J41"/>
  <c r="K40"/>
  <c r="J40"/>
  <c r="L39"/>
  <c r="K39"/>
  <c r="J39"/>
  <c r="K38"/>
  <c r="J38"/>
  <c r="K37"/>
  <c r="J37"/>
  <c r="K36"/>
  <c r="J36"/>
  <c r="K35"/>
  <c r="J35"/>
  <c r="K34"/>
  <c r="J34"/>
  <c r="K33"/>
  <c r="J33"/>
  <c r="K32"/>
  <c r="J32"/>
  <c r="K31"/>
  <c r="J31"/>
  <c r="K30"/>
  <c r="J30"/>
  <c r="K29"/>
  <c r="J29"/>
  <c r="K28"/>
  <c r="J28"/>
  <c r="K27"/>
  <c r="J27"/>
  <c r="K26"/>
  <c r="J26"/>
  <c r="K25"/>
  <c r="J25"/>
  <c r="K24"/>
  <c r="J24"/>
  <c r="K23"/>
  <c r="J23"/>
  <c r="K22"/>
  <c r="J22"/>
  <c r="K21"/>
  <c r="J21"/>
  <c r="K20"/>
  <c r="J20"/>
  <c r="K19"/>
  <c r="J19"/>
  <c r="K18"/>
  <c r="J18"/>
  <c r="K17"/>
  <c r="J17"/>
  <c r="K16"/>
  <c r="J16"/>
  <c r="K15"/>
  <c r="J15"/>
  <c r="K14"/>
  <c r="J14"/>
  <c r="K13"/>
  <c r="J13"/>
  <c r="K12"/>
  <c r="J12"/>
  <c r="K11"/>
  <c r="J11"/>
  <c r="K10"/>
  <c r="J10"/>
  <c r="K9"/>
  <c r="J9"/>
  <c r="K8"/>
  <c r="J8"/>
  <c r="K7"/>
  <c r="J7"/>
  <c r="K65"/>
  <c r="J65"/>
  <c r="L6"/>
  <c r="K6"/>
  <c r="J6"/>
  <c r="Z3" i="9" l="1"/>
  <c r="W29"/>
  <c r="C85" i="8"/>
  <c r="O64"/>
  <c r="G76" s="1"/>
  <c r="H76" s="1"/>
  <c r="N65"/>
  <c r="O65" s="1"/>
  <c r="M36"/>
  <c r="C76"/>
  <c r="C84"/>
  <c r="M8"/>
  <c r="M16"/>
  <c r="M24"/>
  <c r="M32"/>
  <c r="O47"/>
  <c r="M20"/>
  <c r="M37"/>
  <c r="M39"/>
  <c r="M47"/>
  <c r="M49"/>
  <c r="M51"/>
  <c r="M53"/>
  <c r="M55"/>
  <c r="M7"/>
  <c r="M9"/>
  <c r="M11"/>
  <c r="M13"/>
  <c r="M15"/>
  <c r="M21"/>
  <c r="M23"/>
  <c r="M25"/>
  <c r="M27"/>
  <c r="M29"/>
  <c r="M31"/>
  <c r="T29" i="9"/>
  <c r="E85" i="8" s="1"/>
  <c r="X28" i="9"/>
  <c r="H85" i="8" s="1"/>
  <c r="F85"/>
  <c r="T30" i="9"/>
  <c r="V6"/>
  <c r="Z6"/>
  <c r="V19"/>
  <c r="Z19"/>
  <c r="V12"/>
  <c r="Z12"/>
  <c r="T28"/>
  <c r="Y29"/>
  <c r="G85" i="8" s="1"/>
  <c r="M56"/>
  <c r="M58"/>
  <c r="M10"/>
  <c r="M12"/>
  <c r="M26"/>
  <c r="M28"/>
  <c r="M46"/>
  <c r="M48"/>
  <c r="M50"/>
  <c r="M52"/>
  <c r="M54"/>
  <c r="M65"/>
  <c r="C77"/>
  <c r="M22"/>
  <c r="M38"/>
  <c r="M18"/>
  <c r="M34"/>
  <c r="M57"/>
  <c r="M6"/>
  <c r="M14"/>
  <c r="M17"/>
  <c r="M19"/>
  <c r="M30"/>
  <c r="M33"/>
  <c r="M35"/>
  <c r="M40"/>
  <c r="M42"/>
  <c r="M44"/>
  <c r="M60"/>
  <c r="M62"/>
  <c r="M41"/>
  <c r="M43"/>
  <c r="M45"/>
  <c r="M59"/>
  <c r="M61"/>
  <c r="M63"/>
  <c r="O60"/>
  <c r="L5"/>
  <c r="K5"/>
  <c r="J5"/>
  <c r="K4"/>
  <c r="N4" s="1"/>
  <c r="J4"/>
  <c r="W30" i="9" l="1"/>
  <c r="V28"/>
  <c r="V29"/>
  <c r="M4" i="8"/>
  <c r="E84"/>
  <c r="E77" s="1"/>
  <c r="F84"/>
  <c r="F77" s="1"/>
  <c r="M5"/>
  <c r="O4"/>
  <c r="K3"/>
  <c r="F75" l="1"/>
  <c r="N3"/>
  <c r="J3"/>
  <c r="C75" l="1"/>
  <c r="C79" s="1"/>
  <c r="D75" s="1"/>
  <c r="J66"/>
  <c r="K66" s="1"/>
  <c r="M3"/>
  <c r="O3"/>
  <c r="E75" l="1"/>
  <c r="M66"/>
  <c r="D79"/>
  <c r="D78"/>
  <c r="D76"/>
  <c r="D77"/>
  <c r="N5" l="1"/>
  <c r="N6"/>
  <c r="O6" s="1"/>
  <c r="N8"/>
  <c r="O8" s="1"/>
  <c r="N9"/>
  <c r="O9" s="1"/>
  <c r="N10"/>
  <c r="O10" s="1"/>
  <c r="N11"/>
  <c r="O11" s="1"/>
  <c r="N12"/>
  <c r="O12" s="1"/>
  <c r="N13"/>
  <c r="O13" s="1"/>
  <c r="N14"/>
  <c r="O14" s="1"/>
  <c r="N15"/>
  <c r="O15" s="1"/>
  <c r="N16"/>
  <c r="O16" s="1"/>
  <c r="N17"/>
  <c r="O17" s="1"/>
  <c r="N18"/>
  <c r="O18" s="1"/>
  <c r="N19"/>
  <c r="O19" s="1"/>
  <c r="N20"/>
  <c r="O20" s="1"/>
  <c r="N21"/>
  <c r="O21" s="1"/>
  <c r="N22"/>
  <c r="O22" s="1"/>
  <c r="N23"/>
  <c r="O23" s="1"/>
  <c r="N24"/>
  <c r="O24" s="1"/>
  <c r="N25"/>
  <c r="O25" s="1"/>
  <c r="N26"/>
  <c r="O26" s="1"/>
  <c r="N27"/>
  <c r="O27" s="1"/>
  <c r="N28"/>
  <c r="O28" s="1"/>
  <c r="N29"/>
  <c r="O29" s="1"/>
  <c r="N30"/>
  <c r="O30" s="1"/>
  <c r="N31"/>
  <c r="O31" s="1"/>
  <c r="N32"/>
  <c r="O32" s="1"/>
  <c r="N33"/>
  <c r="O33" s="1"/>
  <c r="N34"/>
  <c r="O34" s="1"/>
  <c r="N35"/>
  <c r="O35" s="1"/>
  <c r="N36"/>
  <c r="O36" s="1"/>
  <c r="N37"/>
  <c r="O37" s="1"/>
  <c r="N38"/>
  <c r="O38" s="1"/>
  <c r="N39"/>
  <c r="O39" s="1"/>
  <c r="N40"/>
  <c r="O40" s="1"/>
  <c r="N41"/>
  <c r="O41" s="1"/>
  <c r="N42"/>
  <c r="O42" s="1"/>
  <c r="N43"/>
  <c r="O43" s="1"/>
  <c r="N44"/>
  <c r="O44" s="1"/>
  <c r="N45"/>
  <c r="O45" s="1"/>
  <c r="N46"/>
  <c r="O46" s="1"/>
  <c r="N48"/>
  <c r="O48" s="1"/>
  <c r="N49"/>
  <c r="O49" s="1"/>
  <c r="N50"/>
  <c r="O50" s="1"/>
  <c r="N51"/>
  <c r="O51" s="1"/>
  <c r="N52"/>
  <c r="O52" s="1"/>
  <c r="N53"/>
  <c r="O53" s="1"/>
  <c r="N54"/>
  <c r="O54" s="1"/>
  <c r="N55"/>
  <c r="O55" s="1"/>
  <c r="N56"/>
  <c r="O56" s="1"/>
  <c r="N57"/>
  <c r="O57" s="1"/>
  <c r="N58"/>
  <c r="O58" s="1"/>
  <c r="N59"/>
  <c r="O59" s="1"/>
  <c r="N61"/>
  <c r="O61" s="1"/>
  <c r="N62"/>
  <c r="O62" s="1"/>
  <c r="N63"/>
  <c r="O63" s="1"/>
  <c r="N7"/>
  <c r="O7" s="1"/>
  <c r="H75" l="1"/>
  <c r="H84"/>
  <c r="H77" s="1"/>
  <c r="G84"/>
  <c r="G77" s="1"/>
  <c r="O5"/>
  <c r="G75" s="1"/>
</calcChain>
</file>

<file path=xl/sharedStrings.xml><?xml version="1.0" encoding="utf-8"?>
<sst xmlns="http://schemas.openxmlformats.org/spreadsheetml/2006/main" count="385" uniqueCount="227">
  <si>
    <t xml:space="preserve">Siem Reap </t>
  </si>
  <si>
    <t>Banteay Meanchey</t>
  </si>
  <si>
    <t xml:space="preserve">Kompong Cham </t>
  </si>
  <si>
    <t>Technology 2</t>
    <phoneticPr fontId="6"/>
  </si>
  <si>
    <t>Location</t>
  </si>
  <si>
    <t>Kraties</t>
  </si>
  <si>
    <t>Prey Veng</t>
  </si>
  <si>
    <t>Kampong Speu</t>
  </si>
  <si>
    <t>Takeo</t>
  </si>
  <si>
    <t>Svay Reang</t>
  </si>
  <si>
    <t>Pursat</t>
  </si>
  <si>
    <t>Kampot</t>
  </si>
  <si>
    <t>Kandal</t>
  </si>
  <si>
    <t>Type of technology</t>
    <phoneticPr fontId="6"/>
  </si>
  <si>
    <t>Technology 1</t>
    <phoneticPr fontId="6"/>
  </si>
  <si>
    <t>Technology 3</t>
    <phoneticPr fontId="6"/>
  </si>
  <si>
    <t>No.</t>
    <phoneticPr fontId="6"/>
  </si>
  <si>
    <t>Capacity of dynamo
(kW)</t>
    <phoneticPr fontId="6"/>
  </si>
  <si>
    <t xml:space="preserve">Capacity of diesel engine
(kW) </t>
    <phoneticPr fontId="6"/>
  </si>
  <si>
    <t xml:space="preserve">Density of diesel </t>
    <phoneticPr fontId="6"/>
  </si>
  <si>
    <t>kg/L</t>
    <phoneticPr fontId="6"/>
  </si>
  <si>
    <t>kg-CO2per kg of diesel</t>
    <phoneticPr fontId="6"/>
  </si>
  <si>
    <t>t/MWh</t>
    <phoneticPr fontId="6"/>
  </si>
  <si>
    <t>Annual electricity consumptions (MWh)</t>
    <phoneticPr fontId="6"/>
  </si>
  <si>
    <t>Carbon intensity per production (t-CO2/t-rice)</t>
    <phoneticPr fontId="6"/>
  </si>
  <si>
    <t>Total/Average</t>
    <phoneticPr fontId="6"/>
  </si>
  <si>
    <t>Emission Factor of rural electricity entrepreneur</t>
    <phoneticPr fontId="6"/>
  </si>
  <si>
    <r>
      <t>CO</t>
    </r>
    <r>
      <rPr>
        <vertAlign val="subscript"/>
        <sz val="11"/>
        <color rgb="FF000000"/>
        <rFont val="Arial"/>
        <family val="2"/>
      </rPr>
      <t>2</t>
    </r>
    <r>
      <rPr>
        <sz val="11"/>
        <color rgb="FF000000"/>
        <rFont val="Arial"/>
        <family val="2"/>
      </rPr>
      <t xml:space="preserve"> emission factor of diesel </t>
    </r>
    <phoneticPr fontId="6"/>
  </si>
  <si>
    <t>Diesel consumption per production (l/t)</t>
    <phoneticPr fontId="6"/>
  </si>
  <si>
    <t>Technology 4
0t-CO2/t-rice</t>
    <phoneticPr fontId="6"/>
  </si>
  <si>
    <t>Technology 3
0.0162t-CO2/t-rice</t>
    <phoneticPr fontId="6"/>
  </si>
  <si>
    <t>Technology 2
0.0360t-CO2/t-rice</t>
    <phoneticPr fontId="6"/>
  </si>
  <si>
    <t>Battambang</t>
  </si>
  <si>
    <t>25-30</t>
  </si>
  <si>
    <t>Capacity of Gasifier (kW)</t>
    <phoneticPr fontId="6"/>
  </si>
  <si>
    <t>Kompong Cham</t>
    <phoneticPr fontId="6"/>
  </si>
  <si>
    <t>200+250</t>
    <phoneticPr fontId="6"/>
  </si>
  <si>
    <t>Annual operating days</t>
    <phoneticPr fontId="6"/>
  </si>
  <si>
    <t>500+250+75+100</t>
    <phoneticPr fontId="6"/>
  </si>
  <si>
    <t>Deisel replacement rate</t>
    <phoneticPr fontId="6"/>
  </si>
  <si>
    <t>Qt. of milled rice production/day (t)</t>
    <phoneticPr fontId="6"/>
  </si>
  <si>
    <t xml:space="preserve"> Qt. of electricity consumption/day (kWh)</t>
    <phoneticPr fontId="6"/>
  </si>
  <si>
    <t>Capacity of dynamo (kW)</t>
    <phoneticPr fontId="6"/>
  </si>
  <si>
    <t>Qt. of diesel consumption/day(l)</t>
    <phoneticPr fontId="6"/>
  </si>
  <si>
    <t>Qt. of rice husk consumption/day(t)</t>
    <phoneticPr fontId="6"/>
  </si>
  <si>
    <t>300+400</t>
    <phoneticPr fontId="6"/>
  </si>
  <si>
    <t>Average</t>
    <phoneticPr fontId="6"/>
  </si>
  <si>
    <t>Location of rice miller</t>
    <phoneticPr fontId="6"/>
  </si>
  <si>
    <t xml:space="preserve">Capacity of engine(kW) </t>
    <phoneticPr fontId="6"/>
  </si>
  <si>
    <t>Annual diesel consumptions(l)</t>
    <phoneticPr fontId="6"/>
  </si>
  <si>
    <t>Qt. of diesel consumption/day before installing gasifier(l)</t>
    <phoneticPr fontId="6"/>
  </si>
  <si>
    <t>Diesel consumption per production before installing gasifier (l/t)</t>
    <phoneticPr fontId="6"/>
  </si>
  <si>
    <t>Diesel consumption per production (l/t)</t>
    <phoneticPr fontId="6"/>
  </si>
  <si>
    <t>Annnual milled rice production (t)</t>
    <phoneticPr fontId="6"/>
  </si>
  <si>
    <t>Annual milled rice total</t>
    <phoneticPr fontId="6"/>
  </si>
  <si>
    <t>% of annual milled rice</t>
    <phoneticPr fontId="6"/>
  </si>
  <si>
    <t>Number of rice miller</t>
    <phoneticPr fontId="6"/>
  </si>
  <si>
    <t>Table 8 List of rice millers installing gasification system</t>
    <phoneticPr fontId="6"/>
  </si>
  <si>
    <t>Standardized baseline of energy use in rice mill sector of Cambodia</t>
    <phoneticPr fontId="6"/>
  </si>
  <si>
    <t>Proposal:</t>
    <phoneticPr fontId="6"/>
  </si>
  <si>
    <t xml:space="preserve">Version: </t>
    <phoneticPr fontId="6"/>
  </si>
  <si>
    <t>Date:</t>
    <phoneticPr fontId="6"/>
  </si>
  <si>
    <t>Interview with rice millers of a client of SME renewable or members of rice miller associations in 2012</t>
    <phoneticPr fontId="6"/>
  </si>
  <si>
    <t>Annual deisel consumptions before installing gasifier(l)</t>
    <phoneticPr fontId="6"/>
  </si>
  <si>
    <t>Weighted average</t>
    <phoneticPr fontId="6"/>
  </si>
  <si>
    <t>Total</t>
    <phoneticPr fontId="6"/>
  </si>
  <si>
    <t>Average</t>
    <phoneticPr fontId="6"/>
  </si>
  <si>
    <t>CO2 emissions (t-CO2)</t>
    <phoneticPr fontId="6"/>
  </si>
  <si>
    <t>CO2 emissions (t-CO2)</t>
    <phoneticPr fontId="6"/>
  </si>
  <si>
    <t>Weighted average</t>
    <phoneticPr fontId="6"/>
  </si>
  <si>
    <t>Annual milled rice production x diesel replacement rate</t>
    <phoneticPr fontId="6"/>
  </si>
  <si>
    <t>Sampling survay (Table7.1)</t>
    <phoneticPr fontId="6"/>
  </si>
  <si>
    <t>Tech 3 survay (Table 8)</t>
    <phoneticPr fontId="6"/>
  </si>
  <si>
    <t>Technology 1
0.0483t-CO2/t-rice</t>
    <phoneticPr fontId="6"/>
  </si>
  <si>
    <t xml:space="preserve"> Mansvelt (2010) </t>
  </si>
  <si>
    <t>Number of rice mill</t>
    <phoneticPr fontId="6"/>
  </si>
  <si>
    <t>Share</t>
    <phoneticPr fontId="6"/>
  </si>
  <si>
    <t>Average</t>
    <phoneticPr fontId="6"/>
  </si>
  <si>
    <t>Max</t>
    <phoneticPr fontId="6"/>
  </si>
  <si>
    <t>Min</t>
    <phoneticPr fontId="6"/>
  </si>
  <si>
    <t>Table 9.2 Annual production summery</t>
    <phoneticPr fontId="6"/>
  </si>
  <si>
    <t>MIME(2011)*</t>
    <phoneticPr fontId="6"/>
  </si>
  <si>
    <t>0-99</t>
  </si>
  <si>
    <t>100-199</t>
  </si>
  <si>
    <t>200-299</t>
  </si>
  <si>
    <t>300-399</t>
  </si>
  <si>
    <t>400-499</t>
  </si>
  <si>
    <t>500-599</t>
  </si>
  <si>
    <t>600-699</t>
  </si>
  <si>
    <t>800-899</t>
  </si>
  <si>
    <t>900-999</t>
  </si>
  <si>
    <t>1000-1099</t>
  </si>
  <si>
    <t>1200-1299</t>
  </si>
  <si>
    <t>1300-1399</t>
  </si>
  <si>
    <t>1400-1499</t>
  </si>
  <si>
    <t>1500-1599</t>
  </si>
  <si>
    <t>1600-1699</t>
  </si>
  <si>
    <t>1800-1899</t>
  </si>
  <si>
    <t>1900-1999</t>
  </si>
  <si>
    <t>2000-2099</t>
  </si>
  <si>
    <t>2100-2199</t>
  </si>
  <si>
    <t>2700-2799</t>
  </si>
  <si>
    <t>3000-3099</t>
  </si>
  <si>
    <t>3100-3199</t>
  </si>
  <si>
    <t>3600-3699</t>
  </si>
  <si>
    <t>4000-4099</t>
  </si>
  <si>
    <t>4800-4899</t>
  </si>
  <si>
    <t>5100-5199</t>
  </si>
  <si>
    <t>5200-5299</t>
  </si>
  <si>
    <t>5300-5399</t>
  </si>
  <si>
    <t>7000-</t>
    <phoneticPr fontId="6"/>
  </si>
  <si>
    <t>700-799</t>
  </si>
  <si>
    <t>1100-1199</t>
  </si>
  <si>
    <t>1700-1799</t>
  </si>
  <si>
    <t>2200-2299</t>
  </si>
  <si>
    <t>2300-2399</t>
  </si>
  <si>
    <t>2400-2499</t>
  </si>
  <si>
    <t>2500-2599</t>
  </si>
  <si>
    <t>2600-2699</t>
  </si>
  <si>
    <t>2800-2899</t>
  </si>
  <si>
    <t>2900-2999</t>
  </si>
  <si>
    <t>3200-3299</t>
  </si>
  <si>
    <t>3300-3399</t>
  </si>
  <si>
    <t>3400-3499</t>
  </si>
  <si>
    <t>3500-3599</t>
  </si>
  <si>
    <t>3700-3799</t>
  </si>
  <si>
    <t>3800-3899</t>
  </si>
  <si>
    <t>3900-3999</t>
  </si>
  <si>
    <t>4100-4199</t>
  </si>
  <si>
    <t>4200-4299</t>
  </si>
  <si>
    <t>4300-4399</t>
  </si>
  <si>
    <t>4400-4499</t>
  </si>
  <si>
    <t>4500-4599</t>
  </si>
  <si>
    <t>4600-4699</t>
  </si>
  <si>
    <t>4700-4799</t>
  </si>
  <si>
    <t>4900-4999</t>
  </si>
  <si>
    <t>5000-5099</t>
  </si>
  <si>
    <t>5400-5499</t>
  </si>
  <si>
    <t>5500-5599</t>
  </si>
  <si>
    <t>5600-5699</t>
  </si>
  <si>
    <t>5700-5799</t>
  </si>
  <si>
    <t>5800-5899</t>
  </si>
  <si>
    <t>5900-5999</t>
  </si>
  <si>
    <t>6000-6099</t>
  </si>
  <si>
    <t>Annual milled rice production(t)</t>
    <phoneticPr fontId="6"/>
  </si>
  <si>
    <t>Table 7.2 Summery of sampling survay</t>
  </si>
  <si>
    <t>Table 7.3 Summry of Technology 3 in the sampling survay(Table 7.1) and interview survay(Table 8)</t>
  </si>
  <si>
    <t>Mean</t>
  </si>
  <si>
    <t>Standard Error</t>
  </si>
  <si>
    <t>Median</t>
  </si>
  <si>
    <t>Mode</t>
  </si>
  <si>
    <t>Standard Deviation</t>
  </si>
  <si>
    <t>Sample Variance</t>
  </si>
  <si>
    <t>Kurtosis</t>
  </si>
  <si>
    <t>Skewness</t>
  </si>
  <si>
    <t>Range</t>
  </si>
  <si>
    <t>Minimum</t>
  </si>
  <si>
    <t>Sum</t>
  </si>
  <si>
    <t>Count</t>
  </si>
  <si>
    <t>Confidence Level(95.0%)</t>
  </si>
  <si>
    <t>Diesel consumption per production (Technology 1)</t>
  </si>
  <si>
    <t>*Exclude data of Kampong Thom</t>
  </si>
  <si>
    <t>Maximum</t>
  </si>
  <si>
    <t xml:space="preserve">Table 7.1 List of samples in the sampling survey </t>
  </si>
  <si>
    <t>Annual milled rice production (t)</t>
  </si>
  <si>
    <t>Table 9.1 Comparison between sampling survey and MIME's data</t>
  </si>
  <si>
    <t>The sampling survey</t>
  </si>
  <si>
    <t>Data type</t>
  </si>
  <si>
    <t>Sampling survey</t>
  </si>
  <si>
    <t>Number</t>
  </si>
  <si>
    <t>List of registered entrepreneur by MIME</t>
  </si>
  <si>
    <t>MIME(2011)*</t>
  </si>
  <si>
    <t>Revision</t>
    <phoneticPr fontId="6"/>
  </si>
  <si>
    <t>Delete sheets 'Tech1', 'Tech2', 'Tech3', 'Comparison'</t>
    <phoneticPr fontId="6"/>
  </si>
  <si>
    <t>Delete logarithm calculation in the sheet 'Sample'</t>
    <phoneticPr fontId="6"/>
  </si>
  <si>
    <t>V3</t>
    <phoneticPr fontId="6"/>
  </si>
  <si>
    <t>Table 7.4.1 Descriptive statistics</t>
    <phoneticPr fontId="6"/>
  </si>
  <si>
    <t>Table 7.4.2 Reliability check</t>
    <phoneticPr fontId="6"/>
  </si>
  <si>
    <t>t-value for the sample size of 61</t>
  </si>
  <si>
    <t>Standard error of the mean</t>
  </si>
  <si>
    <t>The ratio of this relative to the mean</t>
  </si>
  <si>
    <t>Confidence level (95%)</t>
    <phoneticPr fontId="6"/>
  </si>
  <si>
    <t>SB Rice mill Camboida Calculation Sheet</t>
    <phoneticPr fontId="6"/>
  </si>
  <si>
    <t>Paddy rice</t>
    <phoneticPr fontId="6"/>
  </si>
  <si>
    <t>White rice</t>
    <phoneticPr fontId="6"/>
  </si>
  <si>
    <t xml:space="preserve">Rice husk </t>
    <phoneticPr fontId="6"/>
  </si>
  <si>
    <t>Rice bran</t>
    <phoneticPr fontId="6"/>
  </si>
  <si>
    <t xml:space="preserve"> Source:NEDO(2011)</t>
    <phoneticPr fontId="6"/>
  </si>
  <si>
    <t>Qt. of milled rice production/day (t)</t>
    <phoneticPr fontId="6"/>
  </si>
  <si>
    <t>Qt. of rice husk availability in the mill is calculated by Qt. of milled rice production/day (t)/60%(white rice weight portion)*22% (rice husk weight portion)</t>
    <phoneticPr fontId="6"/>
  </si>
  <si>
    <t>Percentage for consumption in the mill</t>
    <phoneticPr fontId="6"/>
  </si>
  <si>
    <t>Percentage for consumption in the mill</t>
    <phoneticPr fontId="6"/>
  </si>
  <si>
    <t>Rice husk production per year</t>
    <phoneticPr fontId="6"/>
  </si>
  <si>
    <t>Rice husk utilization per year</t>
    <phoneticPr fontId="6"/>
  </si>
  <si>
    <t>Table8.2 Paddy rice weight component in Cambodia</t>
    <phoneticPr fontId="6"/>
  </si>
  <si>
    <t>Table 8.3 Rice husk availability in the rice mill of Technology 4</t>
    <phoneticPr fontId="6"/>
  </si>
  <si>
    <t>http://data.worldbank.org/indicator/AG.LND.TOTL.K2</t>
  </si>
  <si>
    <t>Average number of rice mills in 50 km radius</t>
    <phoneticPr fontId="6"/>
  </si>
  <si>
    <t>Land area/50km radius</t>
    <phoneticPr fontId="6"/>
  </si>
  <si>
    <t>&gt;125%</t>
    <phoneticPr fontId="6"/>
  </si>
  <si>
    <t>Source:Angkor Bio Cogen Co.,Ltd. (2005)</t>
    <phoneticPr fontId="6"/>
  </si>
  <si>
    <t>Land area of Cambodia (Sq.km)</t>
    <phoneticPr fontId="6"/>
  </si>
  <si>
    <t>50km radius  (Sq.km)</t>
    <phoneticPr fontId="6"/>
  </si>
  <si>
    <t>-</t>
    <phoneticPr fontId="6"/>
  </si>
  <si>
    <t>①</t>
    <phoneticPr fontId="6"/>
  </si>
  <si>
    <t>③</t>
    <phoneticPr fontId="6"/>
  </si>
  <si>
    <t>④</t>
    <phoneticPr fontId="6"/>
  </si>
  <si>
    <t>②　</t>
    <phoneticPr fontId="6"/>
  </si>
  <si>
    <t>⑤</t>
    <phoneticPr fontId="6"/>
  </si>
  <si>
    <t>⑥</t>
    <phoneticPr fontId="6"/>
  </si>
  <si>
    <r>
      <t>Average rice production in 50 km radius (t)</t>
    </r>
    <r>
      <rPr>
        <sz val="11"/>
        <color theme="1"/>
        <rFont val="ＭＳ Ｐゴシック"/>
        <family val="3"/>
        <charset val="128"/>
      </rPr>
      <t>　②</t>
    </r>
    <r>
      <rPr>
        <sz val="11"/>
        <color theme="1"/>
        <rFont val="Arial"/>
        <family val="2"/>
        <charset val="128"/>
      </rPr>
      <t>/</t>
    </r>
    <r>
      <rPr>
        <sz val="11"/>
        <color theme="1"/>
        <rFont val="ＭＳ Ｐゴシック"/>
        <family val="3"/>
        <charset val="128"/>
      </rPr>
      <t>①</t>
    </r>
    <phoneticPr fontId="6"/>
  </si>
  <si>
    <r>
      <t>Average rice husk production in 50 km radius (t)</t>
    </r>
    <r>
      <rPr>
        <sz val="11"/>
        <color theme="1"/>
        <rFont val="ＭＳ Ｐゴシック"/>
        <family val="3"/>
        <charset val="128"/>
      </rPr>
      <t>　③</t>
    </r>
    <r>
      <rPr>
        <sz val="11"/>
        <color theme="1"/>
        <rFont val="Arial"/>
        <family val="2"/>
        <charset val="128"/>
      </rPr>
      <t>/</t>
    </r>
    <r>
      <rPr>
        <sz val="11"/>
        <color theme="1"/>
        <rFont val="ＭＳ Ｐゴシック"/>
        <family val="3"/>
        <charset val="128"/>
      </rPr>
      <t>①</t>
    </r>
    <phoneticPr fontId="6"/>
  </si>
  <si>
    <t>Source</t>
    <phoneticPr fontId="6"/>
  </si>
  <si>
    <t>World Bank</t>
    <phoneticPr fontId="6"/>
  </si>
  <si>
    <t>FAO</t>
    <phoneticPr fontId="6"/>
  </si>
  <si>
    <t>Biomass availability</t>
    <phoneticPr fontId="6"/>
  </si>
  <si>
    <t>Milled rice  in Cambodia (t)</t>
    <phoneticPr fontId="6"/>
  </si>
  <si>
    <t>Annual rice husk consumption (t)</t>
    <phoneticPr fontId="6"/>
  </si>
  <si>
    <t>Annual rice husk production</t>
    <phoneticPr fontId="6"/>
  </si>
  <si>
    <t>Qt. of rice husk production in the mill/day (t)</t>
    <phoneticPr fontId="6"/>
  </si>
  <si>
    <t>-</t>
    <phoneticPr fontId="6"/>
  </si>
  <si>
    <t>-</t>
    <phoneticPr fontId="6"/>
  </si>
  <si>
    <r>
      <t>10% (threshold of baseline scenario (100%-90%), possible maximum share of technology 3 under the SB )</t>
    </r>
    <r>
      <rPr>
        <sz val="11"/>
        <color theme="1"/>
        <rFont val="ＭＳ Ｐゴシック"/>
        <family val="3"/>
        <charset val="128"/>
      </rPr>
      <t>　×　④</t>
    </r>
    <r>
      <rPr>
        <sz val="11"/>
        <color theme="1"/>
        <rFont val="Arial"/>
        <family val="2"/>
        <charset val="128"/>
      </rPr>
      <t xml:space="preserve"> (t)</t>
    </r>
    <phoneticPr fontId="6"/>
  </si>
  <si>
    <t>Total number of rice mills</t>
    <phoneticPr fontId="6"/>
  </si>
  <si>
    <r>
      <t xml:space="preserve">Rice husk (t) </t>
    </r>
    <r>
      <rPr>
        <sz val="11"/>
        <color theme="1"/>
        <rFont val="ＭＳ Ｐゴシック"/>
        <family val="3"/>
        <charset val="128"/>
      </rPr>
      <t>②</t>
    </r>
    <r>
      <rPr>
        <sz val="11"/>
        <color theme="1"/>
        <rFont val="Arial"/>
        <family val="2"/>
        <charset val="128"/>
      </rPr>
      <t xml:space="preserve">/60% </t>
    </r>
    <r>
      <rPr>
        <sz val="11"/>
        <color theme="1"/>
        <rFont val="ＭＳ Ｐゴシック"/>
        <family val="3"/>
        <charset val="128"/>
      </rPr>
      <t>×</t>
    </r>
    <r>
      <rPr>
        <sz val="11"/>
        <color theme="1"/>
        <rFont val="Arial"/>
        <family val="2"/>
        <charset val="128"/>
      </rPr>
      <t>20%</t>
    </r>
    <phoneticPr fontId="6"/>
  </si>
  <si>
    <t>Surpass more than 25% threthhold</t>
    <phoneticPr fontId="6"/>
  </si>
  <si>
    <r>
      <t>Conparison to threthhold of 25</t>
    </r>
    <r>
      <rPr>
        <sz val="11"/>
        <color theme="1"/>
        <rFont val="ＭＳ Ｐゴシック"/>
        <family val="3"/>
        <charset val="128"/>
      </rPr>
      <t>％</t>
    </r>
    <phoneticPr fontId="6"/>
  </si>
</sst>
</file>

<file path=xl/styles.xml><?xml version="1.0" encoding="utf-8"?>
<styleSheet xmlns="http://schemas.openxmlformats.org/spreadsheetml/2006/main">
  <numFmts count="9">
    <numFmt numFmtId="176" formatCode="#,##0.0;[Red]\-#,##0.0"/>
    <numFmt numFmtId="177" formatCode="0.0000_ "/>
    <numFmt numFmtId="178" formatCode="0.0_ "/>
    <numFmt numFmtId="179" formatCode="0_ "/>
    <numFmt numFmtId="180" formatCode="0;_㤄"/>
    <numFmt numFmtId="181" formatCode="#,##0.0000;[Red]\-#,##0.0000"/>
    <numFmt numFmtId="182" formatCode="0.00_ "/>
    <numFmt numFmtId="183" formatCode="0.0%"/>
    <numFmt numFmtId="184" formatCode="#,##0.00000;[Red]\-#,##0.00000"/>
  </numFmts>
  <fonts count="33">
    <font>
      <sz val="11"/>
      <color theme="1"/>
      <name val="Arial"/>
      <family val="2"/>
      <charset val="128"/>
    </font>
    <font>
      <sz val="11"/>
      <color theme="1"/>
      <name val="Arial"/>
      <family val="2"/>
    </font>
    <font>
      <sz val="11"/>
      <color theme="1"/>
      <name val="Arial"/>
      <family val="2"/>
    </font>
    <font>
      <sz val="11"/>
      <color theme="1"/>
      <name val="Arial"/>
      <family val="2"/>
    </font>
    <font>
      <sz val="11"/>
      <color theme="1"/>
      <name val="Arial"/>
      <family val="2"/>
      <charset val="128"/>
    </font>
    <font>
      <sz val="11"/>
      <color rgb="FFFF0000"/>
      <name val="Arial"/>
      <family val="2"/>
      <charset val="128"/>
    </font>
    <font>
      <sz val="6"/>
      <name val="Arial"/>
      <family val="2"/>
      <charset val="128"/>
    </font>
    <font>
      <sz val="11"/>
      <color theme="1"/>
      <name val="Arial"/>
      <family val="2"/>
    </font>
    <font>
      <b/>
      <sz val="18"/>
      <color theme="3"/>
      <name val="ＭＳ Ｐゴシック"/>
      <family val="2"/>
      <charset val="128"/>
      <scheme val="major"/>
    </font>
    <font>
      <b/>
      <sz val="15"/>
      <color theme="3"/>
      <name val="Arial"/>
      <family val="2"/>
      <charset val="128"/>
    </font>
    <font>
      <b/>
      <sz val="13"/>
      <color theme="3"/>
      <name val="Arial"/>
      <family val="2"/>
      <charset val="128"/>
    </font>
    <font>
      <b/>
      <sz val="11"/>
      <color theme="3"/>
      <name val="Arial"/>
      <family val="2"/>
      <charset val="128"/>
    </font>
    <font>
      <sz val="11"/>
      <color rgb="FF006100"/>
      <name val="Arial"/>
      <family val="2"/>
      <charset val="128"/>
    </font>
    <font>
      <sz val="11"/>
      <color rgb="FF9C0006"/>
      <name val="Arial"/>
      <family val="2"/>
      <charset val="128"/>
    </font>
    <font>
      <sz val="11"/>
      <color rgb="FF9C6500"/>
      <name val="Arial"/>
      <family val="2"/>
      <charset val="128"/>
    </font>
    <font>
      <sz val="11"/>
      <color rgb="FF3F3F76"/>
      <name val="Arial"/>
      <family val="2"/>
      <charset val="128"/>
    </font>
    <font>
      <b/>
      <sz val="11"/>
      <color rgb="FF3F3F3F"/>
      <name val="Arial"/>
      <family val="2"/>
      <charset val="128"/>
    </font>
    <font>
      <b/>
      <sz val="11"/>
      <color rgb="FFFA7D00"/>
      <name val="Arial"/>
      <family val="2"/>
      <charset val="128"/>
    </font>
    <font>
      <sz val="11"/>
      <color rgb="FFFA7D00"/>
      <name val="Arial"/>
      <family val="2"/>
      <charset val="128"/>
    </font>
    <font>
      <b/>
      <sz val="11"/>
      <color theme="0"/>
      <name val="Arial"/>
      <family val="2"/>
      <charset val="128"/>
    </font>
    <font>
      <i/>
      <sz val="11"/>
      <color rgb="FF7F7F7F"/>
      <name val="Arial"/>
      <family val="2"/>
      <charset val="128"/>
    </font>
    <font>
      <b/>
      <sz val="11"/>
      <color theme="1"/>
      <name val="Arial"/>
      <family val="2"/>
      <charset val="128"/>
    </font>
    <font>
      <sz val="11"/>
      <color theme="0"/>
      <name val="Arial"/>
      <family val="2"/>
      <charset val="128"/>
    </font>
    <font>
      <sz val="11"/>
      <color rgb="FF000000"/>
      <name val="Arial"/>
      <family val="2"/>
    </font>
    <font>
      <vertAlign val="subscript"/>
      <sz val="11"/>
      <color rgb="FF000000"/>
      <name val="Arial"/>
      <family val="2"/>
    </font>
    <font>
      <b/>
      <sz val="11"/>
      <color theme="1"/>
      <name val="Arial"/>
      <family val="2"/>
    </font>
    <font>
      <sz val="9"/>
      <color theme="1"/>
      <name val="Times New Roman"/>
      <family val="1"/>
    </font>
    <font>
      <i/>
      <sz val="11"/>
      <color theme="1"/>
      <name val="Arial"/>
      <family val="2"/>
      <charset val="128"/>
    </font>
    <font>
      <sz val="11"/>
      <name val="TimesNewRomanPS-BoldMT"/>
      <family val="1"/>
    </font>
    <font>
      <sz val="11"/>
      <name val="Arial"/>
      <family val="2"/>
      <charset val="128"/>
    </font>
    <font>
      <sz val="11"/>
      <name val="TimesNewRomanPSMT"/>
      <family val="1"/>
    </font>
    <font>
      <u/>
      <sz val="11"/>
      <color theme="10"/>
      <name val="Arial"/>
      <family val="2"/>
    </font>
    <font>
      <sz val="11"/>
      <color theme="1"/>
      <name val="ＭＳ Ｐゴシック"/>
      <family val="3"/>
      <charset val="128"/>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3"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s>
  <cellStyleXfs count="46">
    <xf numFmtId="0" fontId="0" fillId="0" borderId="0">
      <alignment vertical="center"/>
    </xf>
    <xf numFmtId="40" fontId="4" fillId="0" borderId="0" applyFont="0" applyFill="0" applyBorder="0" applyAlignment="0" applyProtection="0">
      <alignment vertical="center"/>
    </xf>
    <xf numFmtId="38" fontId="4"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2"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2" borderId="0" applyNumberFormat="0" applyBorder="0" applyAlignment="0" applyProtection="0">
      <alignment vertical="center"/>
    </xf>
    <xf numFmtId="0" fontId="13" fillId="3" borderId="0" applyNumberFormat="0" applyBorder="0" applyAlignment="0" applyProtection="0">
      <alignment vertical="center"/>
    </xf>
    <xf numFmtId="0" fontId="14" fillId="4" borderId="0" applyNumberFormat="0" applyBorder="0" applyAlignment="0" applyProtection="0">
      <alignment vertical="center"/>
    </xf>
    <xf numFmtId="0" fontId="15" fillId="5" borderId="5" applyNumberFormat="0" applyAlignment="0" applyProtection="0">
      <alignment vertical="center"/>
    </xf>
    <xf numFmtId="0" fontId="16" fillId="6" borderId="6" applyNumberFormat="0" applyAlignment="0" applyProtection="0">
      <alignment vertical="center"/>
    </xf>
    <xf numFmtId="0" fontId="17" fillId="6" borderId="5" applyNumberFormat="0" applyAlignment="0" applyProtection="0">
      <alignment vertical="center"/>
    </xf>
    <xf numFmtId="0" fontId="18" fillId="0" borderId="7" applyNumberFormat="0" applyFill="0" applyAlignment="0" applyProtection="0">
      <alignment vertical="center"/>
    </xf>
    <xf numFmtId="0" fontId="19" fillId="7" borderId="8" applyNumberFormat="0" applyAlignment="0" applyProtection="0">
      <alignment vertical="center"/>
    </xf>
    <xf numFmtId="0" fontId="5" fillId="0" borderId="0" applyNumberFormat="0" applyFill="0" applyBorder="0" applyAlignment="0" applyProtection="0">
      <alignment vertical="center"/>
    </xf>
    <xf numFmtId="0" fontId="4" fillId="8"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22" fillId="32" borderId="0" applyNumberFormat="0" applyBorder="0" applyAlignment="0" applyProtection="0">
      <alignment vertical="center"/>
    </xf>
    <xf numFmtId="9" fontId="4" fillId="0" borderId="0" applyFont="0" applyFill="0" applyBorder="0" applyAlignment="0" applyProtection="0">
      <alignment vertical="center"/>
    </xf>
    <xf numFmtId="0" fontId="31" fillId="0" borderId="0" applyNumberFormat="0" applyFill="0" applyBorder="0" applyAlignment="0" applyProtection="0">
      <alignment vertical="top"/>
      <protection locked="0"/>
    </xf>
  </cellStyleXfs>
  <cellXfs count="121">
    <xf numFmtId="0" fontId="0" fillId="0" borderId="0" xfId="0">
      <alignment vertical="center"/>
    </xf>
    <xf numFmtId="38" fontId="7" fillId="0" borderId="1" xfId="2" applyFont="1" applyFill="1" applyBorder="1" applyAlignment="1">
      <alignment horizontal="center" vertical="center" wrapText="1"/>
    </xf>
    <xf numFmtId="14" fontId="0" fillId="0" borderId="0" xfId="0" applyNumberFormat="1">
      <alignment vertical="center"/>
    </xf>
    <xf numFmtId="0" fontId="0" fillId="0" borderId="1" xfId="0" applyFill="1" applyBorder="1">
      <alignment vertical="center"/>
    </xf>
    <xf numFmtId="0" fontId="7" fillId="0" borderId="1" xfId="0" applyFont="1" applyFill="1" applyBorder="1" applyAlignment="1">
      <alignment vertical="center" wrapText="1"/>
    </xf>
    <xf numFmtId="0" fontId="0" fillId="0" borderId="0" xfId="0">
      <alignment vertical="center"/>
    </xf>
    <xf numFmtId="0" fontId="0" fillId="0" borderId="0" xfId="0" applyFill="1">
      <alignment vertical="center"/>
    </xf>
    <xf numFmtId="0" fontId="7" fillId="0" borderId="0" xfId="0" applyFont="1" applyFill="1" applyAlignment="1">
      <alignment vertical="center" wrapText="1"/>
    </xf>
    <xf numFmtId="38" fontId="7" fillId="0" borderId="0" xfId="2" applyFont="1" applyFill="1" applyAlignment="1">
      <alignment vertical="center" wrapText="1"/>
    </xf>
    <xf numFmtId="0" fontId="7" fillId="0" borderId="1" xfId="0" applyNumberFormat="1" applyFont="1" applyFill="1" applyBorder="1">
      <alignment vertical="center"/>
    </xf>
    <xf numFmtId="38" fontId="7" fillId="0" borderId="1" xfId="2" applyFont="1" applyFill="1" applyBorder="1">
      <alignment vertical="center"/>
    </xf>
    <xf numFmtId="178" fontId="7" fillId="0" borderId="1" xfId="0" applyNumberFormat="1" applyFont="1" applyFill="1" applyBorder="1">
      <alignment vertical="center"/>
    </xf>
    <xf numFmtId="183" fontId="7" fillId="0" borderId="1" xfId="44" applyNumberFormat="1" applyFont="1" applyFill="1" applyBorder="1">
      <alignment vertical="center"/>
    </xf>
    <xf numFmtId="0" fontId="7" fillId="0" borderId="0" xfId="0" applyFont="1" applyFill="1" applyBorder="1" applyAlignment="1">
      <alignment horizontal="left" vertical="center"/>
    </xf>
    <xf numFmtId="38" fontId="7" fillId="0" borderId="0" xfId="2" applyFont="1" applyFill="1" applyBorder="1">
      <alignment vertical="center"/>
    </xf>
    <xf numFmtId="178" fontId="7" fillId="0" borderId="0" xfId="0" applyNumberFormat="1" applyFont="1" applyFill="1" applyBorder="1">
      <alignment vertical="center"/>
    </xf>
    <xf numFmtId="0" fontId="7" fillId="0" borderId="0" xfId="0" applyFont="1" applyFill="1" applyBorder="1">
      <alignment vertical="center"/>
    </xf>
    <xf numFmtId="0" fontId="0" fillId="0" borderId="0" xfId="0" applyFill="1" applyBorder="1">
      <alignment vertical="center"/>
    </xf>
    <xf numFmtId="184" fontId="0" fillId="0" borderId="0" xfId="2" applyNumberFormat="1" applyFont="1" applyFill="1" applyBorder="1">
      <alignment vertical="center"/>
    </xf>
    <xf numFmtId="38" fontId="7" fillId="0" borderId="11" xfId="2" applyFont="1" applyFill="1" applyBorder="1" applyAlignment="1">
      <alignment horizontal="center" vertical="center" wrapText="1"/>
    </xf>
    <xf numFmtId="0" fontId="21" fillId="0" borderId="0" xfId="0" applyNumberFormat="1" applyFont="1" applyFill="1" applyBorder="1">
      <alignment vertical="center"/>
    </xf>
    <xf numFmtId="0" fontId="0" fillId="0" borderId="0" xfId="0" applyFill="1" applyBorder="1" applyAlignment="1">
      <alignment vertical="center"/>
    </xf>
    <xf numFmtId="0" fontId="7" fillId="0" borderId="0" xfId="0" applyFont="1" applyFill="1">
      <alignment vertical="center"/>
    </xf>
    <xf numFmtId="38" fontId="7" fillId="0" borderId="0" xfId="2" applyFont="1" applyFill="1">
      <alignment vertical="center"/>
    </xf>
    <xf numFmtId="0" fontId="0" fillId="0" borderId="0" xfId="0" applyFont="1" applyFill="1" applyBorder="1" applyAlignment="1">
      <alignment horizontal="centerContinuous" vertical="center"/>
    </xf>
    <xf numFmtId="38" fontId="2" fillId="0" borderId="1" xfId="2" applyFont="1" applyFill="1" applyBorder="1" applyAlignment="1">
      <alignment horizontal="center" vertical="center" wrapText="1"/>
    </xf>
    <xf numFmtId="0" fontId="0" fillId="0" borderId="0" xfId="0" applyFill="1" applyAlignment="1">
      <alignment vertical="center" wrapText="1"/>
    </xf>
    <xf numFmtId="0" fontId="7" fillId="0" borderId="1" xfId="0" applyFont="1" applyFill="1" applyBorder="1" applyAlignment="1">
      <alignment horizontal="center" vertical="center" wrapText="1"/>
    </xf>
    <xf numFmtId="0" fontId="25" fillId="0" borderId="0" xfId="0" applyFont="1" applyFill="1">
      <alignment vertical="center"/>
    </xf>
    <xf numFmtId="38" fontId="0" fillId="0" borderId="0" xfId="2" applyFont="1" applyFill="1">
      <alignment vertical="center"/>
    </xf>
    <xf numFmtId="176" fontId="0" fillId="0" borderId="0" xfId="2" applyNumberFormat="1" applyFont="1" applyFill="1">
      <alignment vertical="center"/>
    </xf>
    <xf numFmtId="181" fontId="0" fillId="0" borderId="0" xfId="2" applyNumberFormat="1" applyFont="1" applyFill="1">
      <alignment vertical="center"/>
    </xf>
    <xf numFmtId="0" fontId="0" fillId="0" borderId="1" xfId="0" applyFill="1" applyBorder="1" applyAlignment="1">
      <alignment vertical="center" wrapText="1"/>
    </xf>
    <xf numFmtId="0" fontId="0" fillId="0" borderId="1" xfId="0" applyFill="1" applyBorder="1" applyAlignment="1">
      <alignment horizontal="center" vertical="center" wrapText="1"/>
    </xf>
    <xf numFmtId="38" fontId="0" fillId="0" borderId="1" xfId="2" applyFont="1" applyFill="1" applyBorder="1" applyAlignment="1">
      <alignment horizontal="center" vertical="center" wrapText="1"/>
    </xf>
    <xf numFmtId="176" fontId="0" fillId="0" borderId="1" xfId="2" applyNumberFormat="1" applyFont="1" applyFill="1" applyBorder="1" applyAlignment="1">
      <alignment horizontal="center" vertical="center" wrapText="1"/>
    </xf>
    <xf numFmtId="0" fontId="0" fillId="0" borderId="0" xfId="0" applyFill="1" applyBorder="1" applyAlignment="1">
      <alignment vertical="center" wrapText="1"/>
    </xf>
    <xf numFmtId="38" fontId="0" fillId="0" borderId="1" xfId="2" applyFont="1" applyFill="1" applyBorder="1">
      <alignment vertical="center"/>
    </xf>
    <xf numFmtId="176" fontId="0" fillId="0" borderId="1" xfId="2" applyNumberFormat="1" applyFont="1" applyFill="1" applyBorder="1">
      <alignment vertical="center"/>
    </xf>
    <xf numFmtId="0" fontId="23" fillId="0" borderId="0" xfId="0" applyFont="1" applyFill="1" applyBorder="1">
      <alignment vertical="center"/>
    </xf>
    <xf numFmtId="179" fontId="0" fillId="0" borderId="1" xfId="0" applyNumberFormat="1" applyFill="1" applyBorder="1">
      <alignment vertical="center"/>
    </xf>
    <xf numFmtId="180" fontId="0" fillId="0" borderId="1" xfId="0" applyNumberFormat="1" applyFill="1" applyBorder="1">
      <alignment vertical="center"/>
    </xf>
    <xf numFmtId="184" fontId="0" fillId="0" borderId="0" xfId="2" applyNumberFormat="1" applyFont="1" applyFill="1">
      <alignment vertical="center"/>
    </xf>
    <xf numFmtId="0" fontId="23" fillId="0" borderId="0" xfId="0" applyFont="1" applyFill="1" applyAlignment="1">
      <alignment vertical="center"/>
    </xf>
    <xf numFmtId="10" fontId="0" fillId="0" borderId="0" xfId="0" applyNumberFormat="1" applyFill="1">
      <alignment vertical="center"/>
    </xf>
    <xf numFmtId="9" fontId="0" fillId="0" borderId="0" xfId="44" applyFont="1" applyFill="1">
      <alignment vertical="center"/>
    </xf>
    <xf numFmtId="0" fontId="0" fillId="0" borderId="0" xfId="0" applyFill="1" applyAlignment="1">
      <alignment horizontal="right" vertical="center"/>
    </xf>
    <xf numFmtId="178" fontId="0" fillId="0" borderId="1" xfId="0" applyNumberFormat="1" applyFill="1" applyBorder="1" applyAlignment="1">
      <alignment horizontal="right" vertical="center"/>
    </xf>
    <xf numFmtId="177" fontId="0" fillId="0" borderId="1" xfId="0" applyNumberFormat="1" applyFill="1" applyBorder="1">
      <alignment vertical="center"/>
    </xf>
    <xf numFmtId="40" fontId="0" fillId="0" borderId="0" xfId="2" applyNumberFormat="1" applyFont="1" applyFill="1">
      <alignment vertical="center"/>
    </xf>
    <xf numFmtId="178" fontId="0" fillId="0" borderId="1" xfId="0" applyNumberFormat="1" applyFill="1" applyBorder="1">
      <alignment vertical="center"/>
    </xf>
    <xf numFmtId="178" fontId="0" fillId="0" borderId="0" xfId="0" applyNumberFormat="1" applyFill="1">
      <alignment vertical="center"/>
    </xf>
    <xf numFmtId="181" fontId="0" fillId="0" borderId="1" xfId="2" applyNumberFormat="1" applyFont="1" applyFill="1" applyBorder="1" applyAlignment="1">
      <alignment horizontal="right" vertical="center"/>
    </xf>
    <xf numFmtId="0" fontId="26" fillId="0" borderId="0" xfId="0" applyFont="1" applyFill="1">
      <alignment vertical="center"/>
    </xf>
    <xf numFmtId="0" fontId="27" fillId="0" borderId="14" xfId="0" applyFont="1" applyFill="1" applyBorder="1" applyAlignment="1">
      <alignment horizontal="center" vertical="center" wrapText="1"/>
    </xf>
    <xf numFmtId="38" fontId="0" fillId="0" borderId="0" xfId="2" applyFont="1" applyFill="1" applyAlignment="1">
      <alignment vertical="center" wrapText="1"/>
    </xf>
    <xf numFmtId="176" fontId="0" fillId="0" borderId="0" xfId="2" applyNumberFormat="1" applyFont="1" applyFill="1" applyAlignment="1">
      <alignment vertical="center" wrapText="1"/>
    </xf>
    <xf numFmtId="181" fontId="0" fillId="0" borderId="0" xfId="2" applyNumberFormat="1" applyFont="1" applyFill="1" applyAlignment="1">
      <alignment vertical="center" wrapText="1"/>
    </xf>
    <xf numFmtId="4" fontId="0" fillId="0" borderId="0" xfId="1" applyNumberFormat="1" applyFont="1" applyFill="1" applyBorder="1" applyAlignment="1">
      <alignment vertical="center"/>
    </xf>
    <xf numFmtId="0" fontId="0" fillId="0" borderId="13" xfId="0" applyFill="1" applyBorder="1" applyAlignment="1">
      <alignment vertical="center"/>
    </xf>
    <xf numFmtId="4" fontId="0" fillId="0" borderId="13" xfId="1" applyNumberFormat="1" applyFont="1" applyFill="1" applyBorder="1" applyAlignment="1">
      <alignment vertical="center"/>
    </xf>
    <xf numFmtId="4" fontId="0" fillId="0" borderId="0" xfId="0" applyNumberFormat="1" applyFill="1">
      <alignment vertical="center"/>
    </xf>
    <xf numFmtId="38" fontId="0" fillId="0" borderId="1" xfId="2" applyFont="1" applyFill="1" applyBorder="1" applyAlignment="1">
      <alignment vertical="center" wrapText="1"/>
    </xf>
    <xf numFmtId="176" fontId="0" fillId="0" borderId="1" xfId="2" applyNumberFormat="1" applyFont="1" applyFill="1" applyBorder="1" applyAlignment="1">
      <alignment vertical="center" wrapText="1"/>
    </xf>
    <xf numFmtId="9" fontId="0" fillId="0" borderId="11" xfId="44" applyFont="1" applyFill="1" applyBorder="1">
      <alignment vertical="center"/>
    </xf>
    <xf numFmtId="181" fontId="0" fillId="0" borderId="1" xfId="2" applyNumberFormat="1" applyFont="1" applyFill="1" applyBorder="1">
      <alignment vertical="center"/>
    </xf>
    <xf numFmtId="0" fontId="0" fillId="0" borderId="1" xfId="0" applyFill="1" applyBorder="1" applyAlignment="1">
      <alignment horizontal="right" vertical="center"/>
    </xf>
    <xf numFmtId="38" fontId="0" fillId="0" borderId="1" xfId="0" applyNumberFormat="1" applyFill="1" applyBorder="1">
      <alignment vertical="center"/>
    </xf>
    <xf numFmtId="176" fontId="0" fillId="0" borderId="1" xfId="0" applyNumberFormat="1" applyFill="1" applyBorder="1">
      <alignment vertical="center"/>
    </xf>
    <xf numFmtId="181" fontId="0" fillId="0" borderId="1" xfId="0" applyNumberFormat="1" applyFill="1" applyBorder="1">
      <alignment vertical="center"/>
    </xf>
    <xf numFmtId="9" fontId="0" fillId="0" borderId="1" xfId="44" applyFont="1" applyFill="1" applyBorder="1">
      <alignment vertical="center"/>
    </xf>
    <xf numFmtId="0" fontId="7" fillId="0" borderId="1" xfId="0" applyFont="1" applyFill="1" applyBorder="1">
      <alignment vertical="center"/>
    </xf>
    <xf numFmtId="0" fontId="7" fillId="0" borderId="1" xfId="0" applyFont="1" applyFill="1" applyBorder="1" applyAlignment="1">
      <alignment horizontal="center" vertical="center"/>
    </xf>
    <xf numFmtId="9" fontId="7" fillId="0" borderId="1" xfId="44" applyFont="1" applyFill="1" applyBorder="1">
      <alignment vertical="center"/>
    </xf>
    <xf numFmtId="0" fontId="2" fillId="0" borderId="1" xfId="0" applyFont="1" applyFill="1" applyBorder="1" applyAlignment="1">
      <alignment vertical="center" wrapText="1"/>
    </xf>
    <xf numFmtId="0" fontId="1" fillId="0" borderId="1" xfId="0" applyFont="1" applyFill="1" applyBorder="1" applyAlignment="1">
      <alignment vertical="center" wrapText="1"/>
    </xf>
    <xf numFmtId="38" fontId="7" fillId="0" borderId="1" xfId="0" applyNumberFormat="1" applyFont="1" applyFill="1" applyBorder="1" applyAlignment="1">
      <alignment horizontal="left" vertical="center" wrapText="1"/>
    </xf>
    <xf numFmtId="38" fontId="7" fillId="0" borderId="1" xfId="2" applyFont="1" applyFill="1" applyBorder="1" applyAlignment="1"/>
    <xf numFmtId="0" fontId="1" fillId="0" borderId="1" xfId="0" applyFont="1" applyFill="1" applyBorder="1">
      <alignment vertical="center"/>
    </xf>
    <xf numFmtId="38" fontId="1" fillId="0" borderId="1" xfId="2" applyFont="1" applyFill="1" applyBorder="1">
      <alignment vertical="center"/>
    </xf>
    <xf numFmtId="38" fontId="1" fillId="0" borderId="1" xfId="2" applyFont="1" applyFill="1" applyBorder="1" applyAlignment="1">
      <alignment vertical="center" wrapText="1"/>
    </xf>
    <xf numFmtId="38" fontId="7" fillId="0" borderId="1" xfId="1" applyNumberFormat="1" applyFont="1" applyFill="1" applyBorder="1">
      <alignment vertical="center"/>
    </xf>
    <xf numFmtId="0" fontId="7" fillId="0" borderId="1" xfId="0" quotePrefix="1" applyFont="1" applyFill="1" applyBorder="1">
      <alignment vertical="center"/>
    </xf>
    <xf numFmtId="0" fontId="3" fillId="0" borderId="0" xfId="0" applyFont="1" applyFill="1">
      <alignment vertical="center"/>
    </xf>
    <xf numFmtId="0" fontId="29" fillId="0" borderId="0" xfId="0" applyFont="1" applyFill="1">
      <alignment vertical="center"/>
    </xf>
    <xf numFmtId="4" fontId="29" fillId="0" borderId="1" xfId="0" applyNumberFormat="1" applyFont="1" applyFill="1" applyBorder="1">
      <alignment vertical="center"/>
    </xf>
    <xf numFmtId="181" fontId="29" fillId="0" borderId="1" xfId="2" applyNumberFormat="1" applyFont="1" applyBorder="1">
      <alignment vertical="center"/>
    </xf>
    <xf numFmtId="182" fontId="29" fillId="0" borderId="1" xfId="0" applyNumberFormat="1" applyFont="1" applyFill="1" applyBorder="1">
      <alignment vertical="center"/>
    </xf>
    <xf numFmtId="183" fontId="29" fillId="0" borderId="1" xfId="44" applyNumberFormat="1" applyFont="1" applyFill="1" applyBorder="1">
      <alignment vertical="center"/>
    </xf>
    <xf numFmtId="0" fontId="0" fillId="33" borderId="1" xfId="0" applyFill="1" applyBorder="1" applyAlignment="1">
      <alignment vertical="center" wrapText="1"/>
    </xf>
    <xf numFmtId="0" fontId="0" fillId="33" borderId="1" xfId="0" applyFill="1" applyBorder="1">
      <alignment vertical="center"/>
    </xf>
    <xf numFmtId="176" fontId="0" fillId="33" borderId="1" xfId="1" applyNumberFormat="1" applyFont="1" applyFill="1" applyBorder="1">
      <alignment vertical="center"/>
    </xf>
    <xf numFmtId="9" fontId="0" fillId="33" borderId="1" xfId="44" applyFont="1" applyFill="1" applyBorder="1">
      <alignment vertical="center"/>
    </xf>
    <xf numFmtId="0" fontId="0" fillId="33" borderId="0" xfId="0" applyFill="1" applyBorder="1">
      <alignment vertical="center"/>
    </xf>
    <xf numFmtId="0" fontId="25" fillId="33" borderId="0" xfId="0" applyFont="1" applyFill="1" applyBorder="1">
      <alignment vertical="center"/>
    </xf>
    <xf numFmtId="0" fontId="0" fillId="33" borderId="1" xfId="0" applyFill="1" applyBorder="1" applyAlignment="1">
      <alignment horizontal="right" vertical="center"/>
    </xf>
    <xf numFmtId="9" fontId="0" fillId="33" borderId="1" xfId="0" applyNumberFormat="1" applyFill="1" applyBorder="1">
      <alignment vertical="center"/>
    </xf>
    <xf numFmtId="10" fontId="0" fillId="33" borderId="1" xfId="0" applyNumberFormat="1" applyFill="1" applyBorder="1">
      <alignment vertical="center"/>
    </xf>
    <xf numFmtId="0" fontId="0" fillId="33" borderId="0" xfId="0" applyFill="1">
      <alignment vertical="center"/>
    </xf>
    <xf numFmtId="40" fontId="0" fillId="0" borderId="0" xfId="1" applyFont="1" applyFill="1">
      <alignment vertical="center"/>
    </xf>
    <xf numFmtId="38" fontId="0" fillId="33" borderId="1" xfId="1" applyNumberFormat="1" applyFont="1" applyFill="1" applyBorder="1">
      <alignment vertical="center"/>
    </xf>
    <xf numFmtId="0" fontId="25" fillId="33" borderId="0" xfId="0" applyFont="1" applyFill="1">
      <alignment vertical="center"/>
    </xf>
    <xf numFmtId="0" fontId="31" fillId="0" borderId="0" xfId="45" applyAlignment="1" applyProtection="1">
      <alignment vertical="center"/>
    </xf>
    <xf numFmtId="176" fontId="0" fillId="33" borderId="1" xfId="0" applyNumberFormat="1" applyFill="1" applyBorder="1">
      <alignment vertical="center"/>
    </xf>
    <xf numFmtId="3" fontId="0" fillId="33" borderId="1" xfId="0" applyNumberFormat="1" applyFill="1" applyBorder="1">
      <alignment vertical="center"/>
    </xf>
    <xf numFmtId="182" fontId="0" fillId="33" borderId="1" xfId="0" applyNumberFormat="1" applyFill="1" applyBorder="1">
      <alignment vertical="center"/>
    </xf>
    <xf numFmtId="0" fontId="32" fillId="33" borderId="1" xfId="0" applyFont="1" applyFill="1" applyBorder="1">
      <alignment vertical="center"/>
    </xf>
    <xf numFmtId="178" fontId="0" fillId="33" borderId="1" xfId="0" applyNumberFormat="1" applyFill="1" applyBorder="1">
      <alignment vertical="center"/>
    </xf>
    <xf numFmtId="9" fontId="0" fillId="33" borderId="1" xfId="0" applyNumberFormat="1" applyFill="1" applyBorder="1" applyAlignment="1">
      <alignment vertical="center"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xf numFmtId="38" fontId="0" fillId="0" borderId="11" xfId="0" applyNumberFormat="1" applyFill="1" applyBorder="1">
      <alignment vertical="center"/>
    </xf>
    <xf numFmtId="38" fontId="0" fillId="0" borderId="12" xfId="0" applyNumberFormat="1" applyFill="1" applyBorder="1">
      <alignment vertical="center"/>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28" fillId="0" borderId="1" xfId="0" applyFont="1" applyBorder="1" applyAlignment="1">
      <alignment vertical="center"/>
    </xf>
    <xf numFmtId="0" fontId="30" fillId="0" borderId="1" xfId="0" applyFont="1" applyBorder="1" applyAlignment="1">
      <alignment vertical="center"/>
    </xf>
    <xf numFmtId="0" fontId="0" fillId="0" borderId="1" xfId="0" applyFill="1" applyBorder="1" applyAlignment="1">
      <alignment horizontal="center" vertical="center" wrapText="1"/>
    </xf>
    <xf numFmtId="0" fontId="2" fillId="0" borderId="1" xfId="0" applyFont="1" applyFill="1" applyBorder="1" applyAlignment="1">
      <alignment horizontal="center" vertical="center" wrapText="1"/>
    </xf>
    <xf numFmtId="9" fontId="0" fillId="34" borderId="1" xfId="44" applyFont="1" applyFill="1" applyBorder="1">
      <alignment vertical="center"/>
    </xf>
    <xf numFmtId="38" fontId="0" fillId="34" borderId="1" xfId="1" applyNumberFormat="1" applyFont="1" applyFill="1" applyBorder="1">
      <alignment vertical="center"/>
    </xf>
  </cellXfs>
  <cellStyles count="46">
    <cellStyle name="20% - アクセント 1" xfId="21" builtinId="30" customBuiltin="1"/>
    <cellStyle name="20% - アクセント 2" xfId="25" builtinId="34" customBuiltin="1"/>
    <cellStyle name="20% - アクセント 3" xfId="29" builtinId="38" customBuiltin="1"/>
    <cellStyle name="20% - アクセント 4" xfId="33" builtinId="42" customBuiltin="1"/>
    <cellStyle name="20% - アクセント 5" xfId="37" builtinId="46" customBuiltin="1"/>
    <cellStyle name="20% - アクセント 6" xfId="41" builtinId="50" customBuiltin="1"/>
    <cellStyle name="40% - アクセント 1" xfId="22" builtinId="31" customBuiltin="1"/>
    <cellStyle name="40% - アクセント 2" xfId="26" builtinId="35" customBuiltin="1"/>
    <cellStyle name="40% - アクセント 3" xfId="30" builtinId="39" customBuiltin="1"/>
    <cellStyle name="40% - アクセント 4" xfId="34" builtinId="43" customBuiltin="1"/>
    <cellStyle name="40% - アクセント 5" xfId="38" builtinId="47" customBuiltin="1"/>
    <cellStyle name="40% - アクセント 6" xfId="42" builtinId="51" customBuiltin="1"/>
    <cellStyle name="60% - アクセント 1" xfId="23" builtinId="32" customBuiltin="1"/>
    <cellStyle name="60% - アクセント 2" xfId="27" builtinId="36" customBuiltin="1"/>
    <cellStyle name="60% - アクセント 3" xfId="31" builtinId="40" customBuiltin="1"/>
    <cellStyle name="60% - アクセント 4" xfId="35" builtinId="44" customBuiltin="1"/>
    <cellStyle name="60% - アクセント 5" xfId="39" builtinId="48" customBuiltin="1"/>
    <cellStyle name="60% - アクセント 6" xfId="43" builtinId="52" customBuiltin="1"/>
    <cellStyle name="アクセント 1" xfId="20" builtinId="29" customBuiltin="1"/>
    <cellStyle name="アクセント 2" xfId="24" builtinId="33" customBuiltin="1"/>
    <cellStyle name="アクセント 3" xfId="28" builtinId="37" customBuiltin="1"/>
    <cellStyle name="アクセント 4" xfId="32" builtinId="41" customBuiltin="1"/>
    <cellStyle name="アクセント 5" xfId="36" builtinId="45" customBuiltin="1"/>
    <cellStyle name="アクセント 6" xfId="40" builtinId="49" customBuiltin="1"/>
    <cellStyle name="タイトル" xfId="3" builtinId="15" customBuiltin="1"/>
    <cellStyle name="チェック セル" xfId="15" builtinId="23" customBuiltin="1"/>
    <cellStyle name="どちらでもない" xfId="10" builtinId="28" customBuiltin="1"/>
    <cellStyle name="パーセント" xfId="44" builtinId="5"/>
    <cellStyle name="ハイパーリンク" xfId="45" builtinId="8"/>
    <cellStyle name="メモ" xfId="17" builtinId="10" customBuiltin="1"/>
    <cellStyle name="リンク セル" xfId="14" builtinId="24" customBuiltin="1"/>
    <cellStyle name="入力" xfId="11" builtinId="20" customBuiltin="1"/>
    <cellStyle name="出力" xfId="12" builtinId="21" customBuiltin="1"/>
    <cellStyle name="悪い" xfId="9" builtinId="27" customBuiltin="1"/>
    <cellStyle name="桁区切り" xfId="2" builtinId="6"/>
    <cellStyle name="桁区切り [0.00]" xfId="1" builtinId="3"/>
    <cellStyle name="標準" xfId="0" builtinId="0"/>
    <cellStyle name="良い" xfId="8" builtinId="26" customBuiltin="1"/>
    <cellStyle name="見出し 1" xfId="4" builtinId="16" customBuiltin="1"/>
    <cellStyle name="見出し 2" xfId="5" builtinId="17" customBuiltin="1"/>
    <cellStyle name="見出し 3" xfId="6" builtinId="18" customBuiltin="1"/>
    <cellStyle name="見出し 4" xfId="7" builtinId="19" customBuiltin="1"/>
    <cellStyle name="計算" xfId="13" builtinId="22" customBuiltin="1"/>
    <cellStyle name="説明文" xfId="18" builtinId="53" customBuiltin="1"/>
    <cellStyle name="警告文" xfId="16" builtinId="11" customBuiltin="1"/>
    <cellStyle name="集計" xfId="19" builtinId="25"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lang val="ja-JP"/>
  <c:chart>
    <c:plotArea>
      <c:layout/>
      <c:barChart>
        <c:barDir val="bar"/>
        <c:grouping val="percentStacked"/>
        <c:ser>
          <c:idx val="0"/>
          <c:order val="0"/>
          <c:tx>
            <c:strRef>
              <c:f>Sample!$A$75</c:f>
              <c:strCache>
                <c:ptCount val="1"/>
                <c:pt idx="0">
                  <c:v>Technology 1
0.0483t-CO2/t-rice</c:v>
                </c:pt>
              </c:strCache>
            </c:strRef>
          </c:tx>
          <c:dLbls>
            <c:showVal val="1"/>
          </c:dLbls>
          <c:val>
            <c:numRef>
              <c:f>Sample!$D$75</c:f>
              <c:numCache>
                <c:formatCode>0.0%</c:formatCode>
                <c:ptCount val="1"/>
                <c:pt idx="0">
                  <c:v>0.90917160374047845</c:v>
                </c:pt>
              </c:numCache>
            </c:numRef>
          </c:val>
        </c:ser>
        <c:ser>
          <c:idx val="1"/>
          <c:order val="1"/>
          <c:tx>
            <c:strRef>
              <c:f>Sample!$A$76</c:f>
              <c:strCache>
                <c:ptCount val="1"/>
                <c:pt idx="0">
                  <c:v>Technology 2
0.0360t-CO2/t-rice</c:v>
                </c:pt>
              </c:strCache>
            </c:strRef>
          </c:tx>
          <c:dLbls>
            <c:showVal val="1"/>
          </c:dLbls>
          <c:val>
            <c:numRef>
              <c:f>Sample!$D$76</c:f>
              <c:numCache>
                <c:formatCode>0.0%</c:formatCode>
                <c:ptCount val="1"/>
                <c:pt idx="0">
                  <c:v>4.9542761596102637E-2</c:v>
                </c:pt>
              </c:numCache>
            </c:numRef>
          </c:val>
        </c:ser>
        <c:ser>
          <c:idx val="2"/>
          <c:order val="2"/>
          <c:tx>
            <c:strRef>
              <c:f>Sample!$A$77</c:f>
              <c:strCache>
                <c:ptCount val="1"/>
                <c:pt idx="0">
                  <c:v>Technology 3
0.0162t-CO2/t-rice</c:v>
                </c:pt>
              </c:strCache>
            </c:strRef>
          </c:tx>
          <c:dLbls>
            <c:showVal val="1"/>
          </c:dLbls>
          <c:val>
            <c:numRef>
              <c:f>Sample!$D$77</c:f>
              <c:numCache>
                <c:formatCode>0.0%</c:formatCode>
                <c:ptCount val="1"/>
                <c:pt idx="0">
                  <c:v>4.1285634663418863E-2</c:v>
                </c:pt>
              </c:numCache>
            </c:numRef>
          </c:val>
        </c:ser>
        <c:ser>
          <c:idx val="3"/>
          <c:order val="3"/>
          <c:tx>
            <c:strRef>
              <c:f>Sample!$A$78</c:f>
              <c:strCache>
                <c:ptCount val="1"/>
                <c:pt idx="0">
                  <c:v>Technology 4
0t-CO2/t-rice</c:v>
                </c:pt>
              </c:strCache>
            </c:strRef>
          </c:tx>
          <c:val>
            <c:numRef>
              <c:f>Sample!$D$78</c:f>
              <c:numCache>
                <c:formatCode>0.0%</c:formatCode>
                <c:ptCount val="1"/>
                <c:pt idx="0">
                  <c:v>0</c:v>
                </c:pt>
              </c:numCache>
            </c:numRef>
          </c:val>
        </c:ser>
        <c:overlap val="100"/>
        <c:axId val="115518080"/>
        <c:axId val="115523968"/>
      </c:barChart>
      <c:catAx>
        <c:axId val="115518080"/>
        <c:scaling>
          <c:orientation val="minMax"/>
        </c:scaling>
        <c:delete val="1"/>
        <c:axPos val="l"/>
        <c:tickLblPos val="none"/>
        <c:crossAx val="115523968"/>
        <c:crosses val="autoZero"/>
        <c:auto val="1"/>
        <c:lblAlgn val="ctr"/>
        <c:lblOffset val="100"/>
      </c:catAx>
      <c:valAx>
        <c:axId val="115523968"/>
        <c:scaling>
          <c:orientation val="minMax"/>
          <c:min val="0"/>
        </c:scaling>
        <c:axPos val="b"/>
        <c:majorGridlines/>
        <c:numFmt formatCode="0%" sourceLinked="1"/>
        <c:tickLblPos val="nextTo"/>
        <c:crossAx val="115518080"/>
        <c:crosses val="autoZero"/>
        <c:crossBetween val="between"/>
      </c:valAx>
    </c:plotArea>
    <c:legend>
      <c:legendPos val="r"/>
    </c:legend>
    <c:plotVisOnly val="1"/>
  </c:chart>
  <c:spPr>
    <a:ln>
      <a:noFill/>
    </a:ln>
  </c:sp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ja-JP"/>
  <c:chart>
    <c:plotArea>
      <c:layout/>
      <c:barChart>
        <c:barDir val="col"/>
        <c:grouping val="clustered"/>
        <c:ser>
          <c:idx val="0"/>
          <c:order val="0"/>
          <c:tx>
            <c:strRef>
              <c:f>Survey!$C$2</c:f>
              <c:strCache>
                <c:ptCount val="1"/>
                <c:pt idx="0">
                  <c:v>The sampling survey</c:v>
                </c:pt>
              </c:strCache>
            </c:strRef>
          </c:tx>
          <c:cat>
            <c:strRef>
              <c:f>Survey!$B$4:$B$65</c:f>
              <c:strCache>
                <c:ptCount val="62"/>
                <c:pt idx="0">
                  <c:v>0-99</c:v>
                </c:pt>
                <c:pt idx="1">
                  <c:v>100-199</c:v>
                </c:pt>
                <c:pt idx="2">
                  <c:v>200-299</c:v>
                </c:pt>
                <c:pt idx="3">
                  <c:v>300-399</c:v>
                </c:pt>
                <c:pt idx="4">
                  <c:v>400-499</c:v>
                </c:pt>
                <c:pt idx="5">
                  <c:v>500-599</c:v>
                </c:pt>
                <c:pt idx="6">
                  <c:v>600-699</c:v>
                </c:pt>
                <c:pt idx="7">
                  <c:v>700-799</c:v>
                </c:pt>
                <c:pt idx="8">
                  <c:v>800-899</c:v>
                </c:pt>
                <c:pt idx="9">
                  <c:v>900-999</c:v>
                </c:pt>
                <c:pt idx="10">
                  <c:v>1000-1099</c:v>
                </c:pt>
                <c:pt idx="11">
                  <c:v>1100-1199</c:v>
                </c:pt>
                <c:pt idx="12">
                  <c:v>1200-1299</c:v>
                </c:pt>
                <c:pt idx="13">
                  <c:v>1300-1399</c:v>
                </c:pt>
                <c:pt idx="14">
                  <c:v>1400-1499</c:v>
                </c:pt>
                <c:pt idx="15">
                  <c:v>1500-1599</c:v>
                </c:pt>
                <c:pt idx="16">
                  <c:v>1600-1699</c:v>
                </c:pt>
                <c:pt idx="17">
                  <c:v>1700-1799</c:v>
                </c:pt>
                <c:pt idx="18">
                  <c:v>1800-1899</c:v>
                </c:pt>
                <c:pt idx="19">
                  <c:v>1900-1999</c:v>
                </c:pt>
                <c:pt idx="20">
                  <c:v>2000-2099</c:v>
                </c:pt>
                <c:pt idx="21">
                  <c:v>2100-2199</c:v>
                </c:pt>
                <c:pt idx="22">
                  <c:v>2200-2299</c:v>
                </c:pt>
                <c:pt idx="23">
                  <c:v>2300-2399</c:v>
                </c:pt>
                <c:pt idx="24">
                  <c:v>2400-2499</c:v>
                </c:pt>
                <c:pt idx="25">
                  <c:v>2500-2599</c:v>
                </c:pt>
                <c:pt idx="26">
                  <c:v>2600-2699</c:v>
                </c:pt>
                <c:pt idx="27">
                  <c:v>2700-2799</c:v>
                </c:pt>
                <c:pt idx="28">
                  <c:v>2800-2899</c:v>
                </c:pt>
                <c:pt idx="29">
                  <c:v>2900-2999</c:v>
                </c:pt>
                <c:pt idx="30">
                  <c:v>3000-3099</c:v>
                </c:pt>
                <c:pt idx="31">
                  <c:v>3100-3199</c:v>
                </c:pt>
                <c:pt idx="32">
                  <c:v>3200-3299</c:v>
                </c:pt>
                <c:pt idx="33">
                  <c:v>3300-3399</c:v>
                </c:pt>
                <c:pt idx="34">
                  <c:v>3400-3499</c:v>
                </c:pt>
                <c:pt idx="35">
                  <c:v>3500-3599</c:v>
                </c:pt>
                <c:pt idx="36">
                  <c:v>3600-3699</c:v>
                </c:pt>
                <c:pt idx="37">
                  <c:v>3700-3799</c:v>
                </c:pt>
                <c:pt idx="38">
                  <c:v>3800-3899</c:v>
                </c:pt>
                <c:pt idx="39">
                  <c:v>3900-3999</c:v>
                </c:pt>
                <c:pt idx="40">
                  <c:v>4000-4099</c:v>
                </c:pt>
                <c:pt idx="41">
                  <c:v>4100-4199</c:v>
                </c:pt>
                <c:pt idx="42">
                  <c:v>4200-4299</c:v>
                </c:pt>
                <c:pt idx="43">
                  <c:v>4300-4399</c:v>
                </c:pt>
                <c:pt idx="44">
                  <c:v>4400-4499</c:v>
                </c:pt>
                <c:pt idx="45">
                  <c:v>4500-4599</c:v>
                </c:pt>
                <c:pt idx="46">
                  <c:v>4600-4699</c:v>
                </c:pt>
                <c:pt idx="47">
                  <c:v>4700-4799</c:v>
                </c:pt>
                <c:pt idx="48">
                  <c:v>4800-4899</c:v>
                </c:pt>
                <c:pt idx="49">
                  <c:v>4900-4999</c:v>
                </c:pt>
                <c:pt idx="50">
                  <c:v>5000-5099</c:v>
                </c:pt>
                <c:pt idx="51">
                  <c:v>5100-5199</c:v>
                </c:pt>
                <c:pt idx="52">
                  <c:v>5200-5299</c:v>
                </c:pt>
                <c:pt idx="53">
                  <c:v>5300-5399</c:v>
                </c:pt>
                <c:pt idx="54">
                  <c:v>5400-5499</c:v>
                </c:pt>
                <c:pt idx="55">
                  <c:v>5500-5599</c:v>
                </c:pt>
                <c:pt idx="56">
                  <c:v>5600-5699</c:v>
                </c:pt>
                <c:pt idx="57">
                  <c:v>5700-5799</c:v>
                </c:pt>
                <c:pt idx="58">
                  <c:v>5800-5899</c:v>
                </c:pt>
                <c:pt idx="59">
                  <c:v>5900-5999</c:v>
                </c:pt>
                <c:pt idx="60">
                  <c:v>6000-6099</c:v>
                </c:pt>
                <c:pt idx="61">
                  <c:v>7000-</c:v>
                </c:pt>
              </c:strCache>
            </c:strRef>
          </c:cat>
          <c:val>
            <c:numRef>
              <c:f>Survey!$C$4:$C$65</c:f>
              <c:numCache>
                <c:formatCode>General</c:formatCode>
                <c:ptCount val="62"/>
                <c:pt idx="0">
                  <c:v>1</c:v>
                </c:pt>
                <c:pt idx="1">
                  <c:v>7</c:v>
                </c:pt>
                <c:pt idx="2">
                  <c:v>1</c:v>
                </c:pt>
                <c:pt idx="3">
                  <c:v>3</c:v>
                </c:pt>
                <c:pt idx="4">
                  <c:v>10</c:v>
                </c:pt>
                <c:pt idx="5">
                  <c:v>2</c:v>
                </c:pt>
                <c:pt idx="6">
                  <c:v>3</c:v>
                </c:pt>
                <c:pt idx="8">
                  <c:v>1</c:v>
                </c:pt>
                <c:pt idx="9">
                  <c:v>1</c:v>
                </c:pt>
                <c:pt idx="10">
                  <c:v>2</c:v>
                </c:pt>
                <c:pt idx="12">
                  <c:v>2</c:v>
                </c:pt>
                <c:pt idx="13">
                  <c:v>1</c:v>
                </c:pt>
                <c:pt idx="14">
                  <c:v>1</c:v>
                </c:pt>
                <c:pt idx="15">
                  <c:v>1</c:v>
                </c:pt>
                <c:pt idx="16">
                  <c:v>4</c:v>
                </c:pt>
                <c:pt idx="18">
                  <c:v>2</c:v>
                </c:pt>
                <c:pt idx="19">
                  <c:v>2</c:v>
                </c:pt>
                <c:pt idx="20">
                  <c:v>5</c:v>
                </c:pt>
                <c:pt idx="21">
                  <c:v>1</c:v>
                </c:pt>
                <c:pt idx="27">
                  <c:v>2</c:v>
                </c:pt>
                <c:pt idx="30">
                  <c:v>2</c:v>
                </c:pt>
                <c:pt idx="31">
                  <c:v>1</c:v>
                </c:pt>
                <c:pt idx="36">
                  <c:v>2</c:v>
                </c:pt>
                <c:pt idx="40">
                  <c:v>1</c:v>
                </c:pt>
                <c:pt idx="48">
                  <c:v>2</c:v>
                </c:pt>
                <c:pt idx="51">
                  <c:v>1</c:v>
                </c:pt>
                <c:pt idx="52">
                  <c:v>1</c:v>
                </c:pt>
                <c:pt idx="53">
                  <c:v>1</c:v>
                </c:pt>
              </c:numCache>
            </c:numRef>
          </c:val>
        </c:ser>
        <c:ser>
          <c:idx val="1"/>
          <c:order val="1"/>
          <c:tx>
            <c:strRef>
              <c:f>Survey!$E$2</c:f>
              <c:strCache>
                <c:ptCount val="1"/>
                <c:pt idx="0">
                  <c:v>MIME(2011)*</c:v>
                </c:pt>
              </c:strCache>
            </c:strRef>
          </c:tx>
          <c:cat>
            <c:strRef>
              <c:f>Survey!$B$4:$B$65</c:f>
              <c:strCache>
                <c:ptCount val="62"/>
                <c:pt idx="0">
                  <c:v>0-99</c:v>
                </c:pt>
                <c:pt idx="1">
                  <c:v>100-199</c:v>
                </c:pt>
                <c:pt idx="2">
                  <c:v>200-299</c:v>
                </c:pt>
                <c:pt idx="3">
                  <c:v>300-399</c:v>
                </c:pt>
                <c:pt idx="4">
                  <c:v>400-499</c:v>
                </c:pt>
                <c:pt idx="5">
                  <c:v>500-599</c:v>
                </c:pt>
                <c:pt idx="6">
                  <c:v>600-699</c:v>
                </c:pt>
                <c:pt idx="7">
                  <c:v>700-799</c:v>
                </c:pt>
                <c:pt idx="8">
                  <c:v>800-899</c:v>
                </c:pt>
                <c:pt idx="9">
                  <c:v>900-999</c:v>
                </c:pt>
                <c:pt idx="10">
                  <c:v>1000-1099</c:v>
                </c:pt>
                <c:pt idx="11">
                  <c:v>1100-1199</c:v>
                </c:pt>
                <c:pt idx="12">
                  <c:v>1200-1299</c:v>
                </c:pt>
                <c:pt idx="13">
                  <c:v>1300-1399</c:v>
                </c:pt>
                <c:pt idx="14">
                  <c:v>1400-1499</c:v>
                </c:pt>
                <c:pt idx="15">
                  <c:v>1500-1599</c:v>
                </c:pt>
                <c:pt idx="16">
                  <c:v>1600-1699</c:v>
                </c:pt>
                <c:pt idx="17">
                  <c:v>1700-1799</c:v>
                </c:pt>
                <c:pt idx="18">
                  <c:v>1800-1899</c:v>
                </c:pt>
                <c:pt idx="19">
                  <c:v>1900-1999</c:v>
                </c:pt>
                <c:pt idx="20">
                  <c:v>2000-2099</c:v>
                </c:pt>
                <c:pt idx="21">
                  <c:v>2100-2199</c:v>
                </c:pt>
                <c:pt idx="22">
                  <c:v>2200-2299</c:v>
                </c:pt>
                <c:pt idx="23">
                  <c:v>2300-2399</c:v>
                </c:pt>
                <c:pt idx="24">
                  <c:v>2400-2499</c:v>
                </c:pt>
                <c:pt idx="25">
                  <c:v>2500-2599</c:v>
                </c:pt>
                <c:pt idx="26">
                  <c:v>2600-2699</c:v>
                </c:pt>
                <c:pt idx="27">
                  <c:v>2700-2799</c:v>
                </c:pt>
                <c:pt idx="28">
                  <c:v>2800-2899</c:v>
                </c:pt>
                <c:pt idx="29">
                  <c:v>2900-2999</c:v>
                </c:pt>
                <c:pt idx="30">
                  <c:v>3000-3099</c:v>
                </c:pt>
                <c:pt idx="31">
                  <c:v>3100-3199</c:v>
                </c:pt>
                <c:pt idx="32">
                  <c:v>3200-3299</c:v>
                </c:pt>
                <c:pt idx="33">
                  <c:v>3300-3399</c:v>
                </c:pt>
                <c:pt idx="34">
                  <c:v>3400-3499</c:v>
                </c:pt>
                <c:pt idx="35">
                  <c:v>3500-3599</c:v>
                </c:pt>
                <c:pt idx="36">
                  <c:v>3600-3699</c:v>
                </c:pt>
                <c:pt idx="37">
                  <c:v>3700-3799</c:v>
                </c:pt>
                <c:pt idx="38">
                  <c:v>3800-3899</c:v>
                </c:pt>
                <c:pt idx="39">
                  <c:v>3900-3999</c:v>
                </c:pt>
                <c:pt idx="40">
                  <c:v>4000-4099</c:v>
                </c:pt>
                <c:pt idx="41">
                  <c:v>4100-4199</c:v>
                </c:pt>
                <c:pt idx="42">
                  <c:v>4200-4299</c:v>
                </c:pt>
                <c:pt idx="43">
                  <c:v>4300-4399</c:v>
                </c:pt>
                <c:pt idx="44">
                  <c:v>4400-4499</c:v>
                </c:pt>
                <c:pt idx="45">
                  <c:v>4500-4599</c:v>
                </c:pt>
                <c:pt idx="46">
                  <c:v>4600-4699</c:v>
                </c:pt>
                <c:pt idx="47">
                  <c:v>4700-4799</c:v>
                </c:pt>
                <c:pt idx="48">
                  <c:v>4800-4899</c:v>
                </c:pt>
                <c:pt idx="49">
                  <c:v>4900-4999</c:v>
                </c:pt>
                <c:pt idx="50">
                  <c:v>5000-5099</c:v>
                </c:pt>
                <c:pt idx="51">
                  <c:v>5100-5199</c:v>
                </c:pt>
                <c:pt idx="52">
                  <c:v>5200-5299</c:v>
                </c:pt>
                <c:pt idx="53">
                  <c:v>5300-5399</c:v>
                </c:pt>
                <c:pt idx="54">
                  <c:v>5400-5499</c:v>
                </c:pt>
                <c:pt idx="55">
                  <c:v>5500-5599</c:v>
                </c:pt>
                <c:pt idx="56">
                  <c:v>5600-5699</c:v>
                </c:pt>
                <c:pt idx="57">
                  <c:v>5700-5799</c:v>
                </c:pt>
                <c:pt idx="58">
                  <c:v>5800-5899</c:v>
                </c:pt>
                <c:pt idx="59">
                  <c:v>5900-5999</c:v>
                </c:pt>
                <c:pt idx="60">
                  <c:v>6000-6099</c:v>
                </c:pt>
                <c:pt idx="61">
                  <c:v>7000-</c:v>
                </c:pt>
              </c:strCache>
            </c:strRef>
          </c:cat>
          <c:val>
            <c:numRef>
              <c:f>Survey!$E$4:$E$65</c:f>
              <c:numCache>
                <c:formatCode>General</c:formatCode>
                <c:ptCount val="62"/>
                <c:pt idx="0">
                  <c:v>17393</c:v>
                </c:pt>
                <c:pt idx="1">
                  <c:v>4161</c:v>
                </c:pt>
                <c:pt idx="2">
                  <c:v>302</c:v>
                </c:pt>
                <c:pt idx="3">
                  <c:v>133</c:v>
                </c:pt>
                <c:pt idx="4">
                  <c:v>76</c:v>
                </c:pt>
                <c:pt idx="5">
                  <c:v>41</c:v>
                </c:pt>
                <c:pt idx="6">
                  <c:v>58</c:v>
                </c:pt>
                <c:pt idx="7">
                  <c:v>31</c:v>
                </c:pt>
                <c:pt idx="8">
                  <c:v>26</c:v>
                </c:pt>
                <c:pt idx="9">
                  <c:v>22</c:v>
                </c:pt>
                <c:pt idx="10">
                  <c:v>28</c:v>
                </c:pt>
                <c:pt idx="11">
                  <c:v>4</c:v>
                </c:pt>
                <c:pt idx="12">
                  <c:v>8</c:v>
                </c:pt>
                <c:pt idx="14">
                  <c:v>9</c:v>
                </c:pt>
                <c:pt idx="15">
                  <c:v>9</c:v>
                </c:pt>
                <c:pt idx="16">
                  <c:v>2</c:v>
                </c:pt>
                <c:pt idx="18">
                  <c:v>4</c:v>
                </c:pt>
                <c:pt idx="19">
                  <c:v>1</c:v>
                </c:pt>
                <c:pt idx="20">
                  <c:v>4</c:v>
                </c:pt>
                <c:pt idx="24">
                  <c:v>33</c:v>
                </c:pt>
                <c:pt idx="25">
                  <c:v>1</c:v>
                </c:pt>
                <c:pt idx="28">
                  <c:v>1</c:v>
                </c:pt>
                <c:pt idx="30">
                  <c:v>4</c:v>
                </c:pt>
                <c:pt idx="38">
                  <c:v>1</c:v>
                </c:pt>
                <c:pt idx="42">
                  <c:v>1</c:v>
                </c:pt>
                <c:pt idx="45">
                  <c:v>1</c:v>
                </c:pt>
                <c:pt idx="48">
                  <c:v>2</c:v>
                </c:pt>
                <c:pt idx="50">
                  <c:v>34</c:v>
                </c:pt>
                <c:pt idx="57">
                  <c:v>1</c:v>
                </c:pt>
                <c:pt idx="60">
                  <c:v>1</c:v>
                </c:pt>
                <c:pt idx="61">
                  <c:v>5</c:v>
                </c:pt>
              </c:numCache>
            </c:numRef>
          </c:val>
        </c:ser>
        <c:axId val="115527040"/>
        <c:axId val="115528832"/>
      </c:barChart>
      <c:catAx>
        <c:axId val="115527040"/>
        <c:scaling>
          <c:orientation val="minMax"/>
        </c:scaling>
        <c:axPos val="b"/>
        <c:tickLblPos val="nextTo"/>
        <c:txPr>
          <a:bodyPr/>
          <a:lstStyle/>
          <a:p>
            <a:pPr>
              <a:defRPr sz="800"/>
            </a:pPr>
            <a:endParaRPr lang="ja-JP"/>
          </a:p>
        </c:txPr>
        <c:crossAx val="115528832"/>
        <c:crosses val="autoZero"/>
        <c:auto val="1"/>
        <c:lblAlgn val="ctr"/>
        <c:lblOffset val="100"/>
      </c:catAx>
      <c:valAx>
        <c:axId val="115528832"/>
        <c:scaling>
          <c:logBase val="10"/>
          <c:orientation val="minMax"/>
        </c:scaling>
        <c:axPos val="l"/>
        <c:majorGridlines/>
        <c:numFmt formatCode="General" sourceLinked="1"/>
        <c:tickLblPos val="nextTo"/>
        <c:crossAx val="115527040"/>
        <c:crosses val="autoZero"/>
        <c:crossBetween val="between"/>
      </c:valAx>
    </c:plotArea>
    <c:legend>
      <c:legendPos val="r"/>
      <c:layout/>
    </c:legend>
    <c:plotVisOnly val="1"/>
  </c:chart>
  <c:printSettings>
    <c:headerFooter/>
    <c:pageMargins b="0.75000000000000155" l="0.70000000000000062" r="0.70000000000000062" t="0.7500000000000015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9</xdr:col>
      <xdr:colOff>95250</xdr:colOff>
      <xdr:row>72</xdr:row>
      <xdr:rowOff>438150</xdr:rowOff>
    </xdr:from>
    <xdr:to>
      <xdr:col>16</xdr:col>
      <xdr:colOff>209550</xdr:colOff>
      <xdr:row>76</xdr:row>
      <xdr:rowOff>514350</xdr:rowOff>
    </xdr:to>
    <xdr:graphicFrame macro="">
      <xdr:nvGraphicFramePr>
        <xdr:cNvPr id="19" name="グラフ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733425</xdr:colOff>
      <xdr:row>73</xdr:row>
      <xdr:rowOff>146573</xdr:rowOff>
    </xdr:from>
    <xdr:to>
      <xdr:col>14</xdr:col>
      <xdr:colOff>542925</xdr:colOff>
      <xdr:row>77</xdr:row>
      <xdr:rowOff>104775</xdr:rowOff>
    </xdr:to>
    <xdr:grpSp>
      <xdr:nvGrpSpPr>
        <xdr:cNvPr id="7" name="グループ化 6"/>
        <xdr:cNvGrpSpPr/>
      </xdr:nvGrpSpPr>
      <xdr:grpSpPr>
        <a:xfrm>
          <a:off x="12649200" y="14519798"/>
          <a:ext cx="695325" cy="1834627"/>
          <a:chOff x="12449175" y="14719823"/>
          <a:chExt cx="752475" cy="1834627"/>
        </a:xfrm>
      </xdr:grpSpPr>
      <xdr:cxnSp macro="">
        <xdr:nvCxnSpPr>
          <xdr:cNvPr id="1026" name="AutoShape 2"/>
          <xdr:cNvCxnSpPr>
            <a:cxnSpLocks noChangeShapeType="1"/>
          </xdr:cNvCxnSpPr>
        </xdr:nvCxnSpPr>
        <xdr:spPr bwMode="auto">
          <a:xfrm flipH="1">
            <a:off x="12852944" y="14719823"/>
            <a:ext cx="0" cy="1509358"/>
          </a:xfrm>
          <a:prstGeom prst="straightConnector1">
            <a:avLst/>
          </a:prstGeom>
          <a:noFill/>
          <a:ln w="57150">
            <a:solidFill>
              <a:srgbClr val="272727"/>
            </a:solidFill>
            <a:round/>
            <a:headEnd/>
            <a:tailEnd/>
          </a:ln>
        </xdr:spPr>
      </xdr:cxnSp>
      <xdr:sp macro="" textlink="">
        <xdr:nvSpPr>
          <xdr:cNvPr id="1027" name="Text Box 3"/>
          <xdr:cNvSpPr txBox="1">
            <a:spLocks noChangeArrowheads="1"/>
          </xdr:cNvSpPr>
        </xdr:nvSpPr>
        <xdr:spPr bwMode="auto">
          <a:xfrm>
            <a:off x="12449175" y="16135143"/>
            <a:ext cx="752475" cy="419307"/>
          </a:xfrm>
          <a:prstGeom prst="rect">
            <a:avLst/>
          </a:prstGeom>
          <a:noFill/>
          <a:ln w="9525">
            <a:solidFill>
              <a:srgbClr val="FF0000"/>
            </a:solidFill>
            <a:miter lim="800000"/>
            <a:headEnd/>
            <a:tailEnd/>
          </a:ln>
        </xdr:spPr>
        <xdr:txBody>
          <a:bodyPr vertOverflow="clip" wrap="square" lIns="91440" tIns="45720" rIns="9144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GB" altLang="ja-JP" sz="1000">
                <a:latin typeface="+mn-lt"/>
                <a:ea typeface="+mn-ea"/>
                <a:cs typeface="+mn-cs"/>
              </a:rPr>
              <a:t>    90%</a:t>
            </a:r>
          </a:p>
          <a:p>
            <a:pPr marL="0" marR="0" indent="0" algn="l" defTabSz="914400" rtl="0" eaLnBrk="1" fontAlgn="auto" latinLnBrk="0" hangingPunct="1">
              <a:lnSpc>
                <a:spcPct val="100000"/>
              </a:lnSpc>
              <a:spcBef>
                <a:spcPts val="0"/>
              </a:spcBef>
              <a:spcAft>
                <a:spcPts val="0"/>
              </a:spcAft>
              <a:buClrTx/>
              <a:buSzTx/>
              <a:buFontTx/>
              <a:buNone/>
              <a:tabLst/>
              <a:defRPr sz="1000"/>
            </a:pPr>
            <a:r>
              <a:rPr lang="en-GB" altLang="ja-JP" sz="1000" baseline="0">
                <a:latin typeface="+mn-lt"/>
                <a:ea typeface="+mn-ea"/>
                <a:cs typeface="+mn-cs"/>
              </a:rPr>
              <a:t>    </a:t>
            </a:r>
            <a:r>
              <a:rPr lang="en-GB" altLang="ja-JP" sz="1000">
                <a:latin typeface="+mn-lt"/>
                <a:ea typeface="+mn-ea"/>
                <a:cs typeface="+mn-cs"/>
              </a:rPr>
              <a:t>Yb%</a:t>
            </a:r>
            <a:endParaRPr lang="ja-JP" altLang="ja-JP" sz="1000">
              <a:latin typeface="+mn-lt"/>
              <a:ea typeface="+mn-ea"/>
              <a:cs typeface="+mn-cs"/>
            </a:endParaRPr>
          </a:p>
          <a:p>
            <a:pPr algn="l" rtl="0">
              <a:defRPr sz="1000"/>
            </a:pPr>
            <a:endParaRPr lang="en-US" altLang="ja-JP" sz="1100" b="0" i="0" u="none" strike="noStrike" baseline="0">
              <a:solidFill>
                <a:srgbClr val="000000"/>
              </a:solidFill>
              <a:latin typeface="Arial"/>
              <a:cs typeface="Arial"/>
            </a:endParaRPr>
          </a:p>
        </xdr:txBody>
      </xdr:sp>
    </xdr:grpSp>
    <xdr:clientData/>
  </xdr:twoCellAnchor>
  <xdr:oneCellAnchor>
    <xdr:from>
      <xdr:col>2</xdr:col>
      <xdr:colOff>257175</xdr:colOff>
      <xdr:row>107</xdr:row>
      <xdr:rowOff>142875</xdr:rowOff>
    </xdr:from>
    <xdr:ext cx="357598" cy="275717"/>
    <xdr:sp macro="" textlink="">
      <xdr:nvSpPr>
        <xdr:cNvPr id="20" name="テキスト ボックス 19"/>
        <xdr:cNvSpPr txBox="1"/>
      </xdr:nvSpPr>
      <xdr:spPr>
        <a:xfrm>
          <a:off x="2800350" y="23993475"/>
          <a:ext cx="35759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1100"/>
            <a:t> </a:t>
          </a:r>
          <a:r>
            <a:rPr kumimoji="1" lang="en-US" altLang="ja-JP" sz="1100"/>
            <a:t>±</a:t>
          </a:r>
          <a:endParaRPr kumimoji="1" lang="ja-JP" altLang="en-US" sz="1100"/>
        </a:p>
      </xdr:txBody>
    </xdr:sp>
    <xdr:clientData/>
  </xdr:oneCellAnchor>
  <xdr:oneCellAnchor>
    <xdr:from>
      <xdr:col>0</xdr:col>
      <xdr:colOff>0</xdr:colOff>
      <xdr:row>111</xdr:row>
      <xdr:rowOff>133349</xdr:rowOff>
    </xdr:from>
    <xdr:ext cx="3924300" cy="1333501"/>
    <xdr:sp macro="" textlink="">
      <xdr:nvSpPr>
        <xdr:cNvPr id="21" name="テキスト ボックス 20"/>
        <xdr:cNvSpPr txBox="1"/>
      </xdr:nvSpPr>
      <xdr:spPr>
        <a:xfrm>
          <a:off x="0" y="24736424"/>
          <a:ext cx="3924300" cy="1333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altLang="ja-JP" sz="1100">
              <a:solidFill>
                <a:schemeClr val="tx1"/>
              </a:solidFill>
              <a:latin typeface="+mn-lt"/>
              <a:ea typeface="+mn-ea"/>
              <a:cs typeface="+mn-cs"/>
            </a:rPr>
            <a:t>The sampling guidance example with 7.1% for the value (CFL usage) concluded as “The data are therefore within the required specification”. Since this case result had close value to the example, this data also is regarded as within the required specification.</a:t>
          </a:r>
          <a:endParaRPr lang="ja-JP" altLang="ja-JP" sz="1100">
            <a:solidFill>
              <a:schemeClr val="tx1"/>
            </a:solidFill>
            <a:latin typeface="+mn-lt"/>
            <a:ea typeface="+mn-ea"/>
            <a:cs typeface="+mn-cs"/>
          </a:endParaRPr>
        </a:p>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7</xdr:col>
      <xdr:colOff>866775</xdr:colOff>
      <xdr:row>0</xdr:row>
      <xdr:rowOff>123824</xdr:rowOff>
    </xdr:from>
    <xdr:to>
      <xdr:col>19</xdr:col>
      <xdr:colOff>542925</xdr:colOff>
      <xdr:row>24</xdr:row>
      <xdr:rowOff>57149</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http://data.worldbank.org/indicator/AG.LND.TOTL.K2"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3:B10"/>
  <sheetViews>
    <sheetView workbookViewId="0">
      <selection activeCell="A4" sqref="A4"/>
    </sheetView>
  </sheetViews>
  <sheetFormatPr defaultRowHeight="14.25"/>
  <cols>
    <col min="2" max="2" width="61.125" bestFit="1" customWidth="1"/>
  </cols>
  <sheetData>
    <row r="3" spans="1:2">
      <c r="A3" s="5" t="s">
        <v>182</v>
      </c>
    </row>
    <row r="4" spans="1:2" s="5" customFormat="1">
      <c r="A4" s="5" t="s">
        <v>59</v>
      </c>
      <c r="B4" s="5" t="s">
        <v>58</v>
      </c>
    </row>
    <row r="5" spans="1:2">
      <c r="A5" s="5" t="s">
        <v>60</v>
      </c>
      <c r="B5">
        <v>3</v>
      </c>
    </row>
    <row r="6" spans="1:2">
      <c r="A6" s="5" t="s">
        <v>61</v>
      </c>
      <c r="B6" s="2">
        <v>41362</v>
      </c>
    </row>
    <row r="7" spans="1:2">
      <c r="A7" s="5"/>
    </row>
    <row r="8" spans="1:2">
      <c r="A8" s="5" t="s">
        <v>172</v>
      </c>
    </row>
    <row r="9" spans="1:2">
      <c r="A9" s="5" t="s">
        <v>175</v>
      </c>
      <c r="B9" s="5" t="s">
        <v>173</v>
      </c>
    </row>
    <row r="10" spans="1:2">
      <c r="B10" s="5" t="s">
        <v>174</v>
      </c>
    </row>
  </sheetData>
  <phoneticPr fontId="6"/>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U116"/>
  <sheetViews>
    <sheetView workbookViewId="0">
      <selection activeCell="N26" sqref="N26"/>
    </sheetView>
  </sheetViews>
  <sheetFormatPr defaultRowHeight="14.25"/>
  <cols>
    <col min="1" max="1" width="15.375" style="6" customWidth="1"/>
    <col min="2" max="2" width="18" style="6" customWidth="1"/>
    <col min="3" max="3" width="14.25" style="6" customWidth="1"/>
    <col min="4" max="4" width="10.625" style="6" customWidth="1"/>
    <col min="5" max="5" width="15.25" style="6" customWidth="1"/>
    <col min="6" max="6" width="12.5" style="6" customWidth="1"/>
    <col min="7" max="7" width="15.625" style="6" customWidth="1"/>
    <col min="8" max="9" width="9" style="6" customWidth="1"/>
    <col min="10" max="10" width="9" style="29" customWidth="1"/>
    <col min="11" max="11" width="9.5" style="29" customWidth="1"/>
    <col min="12" max="12" width="9" style="29" customWidth="1"/>
    <col min="13" max="13" width="9.25" style="30" customWidth="1"/>
    <col min="14" max="14" width="11.625" style="6" customWidth="1"/>
    <col min="15" max="15" width="13.125" style="31" customWidth="1"/>
    <col min="16" max="16" width="12.5" style="6" customWidth="1"/>
    <col min="17" max="18" width="12.25" style="6" customWidth="1"/>
    <col min="19" max="20" width="9.75" style="6" customWidth="1"/>
    <col min="21" max="16384" width="9" style="6"/>
  </cols>
  <sheetData>
    <row r="1" spans="1:21" ht="15">
      <c r="A1" s="28" t="s">
        <v>163</v>
      </c>
    </row>
    <row r="2" spans="1:21" s="26" customFormat="1" ht="71.25">
      <c r="A2" s="32" t="s">
        <v>16</v>
      </c>
      <c r="B2" s="33" t="s">
        <v>4</v>
      </c>
      <c r="C2" s="33" t="s">
        <v>40</v>
      </c>
      <c r="D2" s="33" t="s">
        <v>37</v>
      </c>
      <c r="E2" s="33" t="s">
        <v>13</v>
      </c>
      <c r="F2" s="33" t="s">
        <v>41</v>
      </c>
      <c r="G2" s="33" t="s">
        <v>18</v>
      </c>
      <c r="H2" s="33" t="s">
        <v>17</v>
      </c>
      <c r="I2" s="33" t="s">
        <v>43</v>
      </c>
      <c r="J2" s="25" t="s">
        <v>164</v>
      </c>
      <c r="K2" s="34" t="s">
        <v>49</v>
      </c>
      <c r="L2" s="34" t="s">
        <v>23</v>
      </c>
      <c r="M2" s="35" t="s">
        <v>52</v>
      </c>
      <c r="N2" s="33" t="s">
        <v>68</v>
      </c>
      <c r="O2" s="33" t="s">
        <v>24</v>
      </c>
      <c r="R2" s="36"/>
      <c r="S2" s="36"/>
      <c r="T2" s="36"/>
      <c r="U2" s="36"/>
    </row>
    <row r="3" spans="1:21">
      <c r="A3" s="3">
        <v>1</v>
      </c>
      <c r="B3" s="3" t="s">
        <v>1</v>
      </c>
      <c r="C3" s="3">
        <v>8</v>
      </c>
      <c r="D3" s="3">
        <v>200</v>
      </c>
      <c r="E3" s="3" t="s">
        <v>14</v>
      </c>
      <c r="F3" s="3"/>
      <c r="G3" s="3">
        <v>225</v>
      </c>
      <c r="H3" s="3"/>
      <c r="I3" s="3">
        <v>150</v>
      </c>
      <c r="J3" s="37">
        <f t="shared" ref="J3:J34" si="0">C3*D3</f>
        <v>1600</v>
      </c>
      <c r="K3" s="37">
        <f t="shared" ref="K3:K34" si="1">D3*I3</f>
        <v>30000</v>
      </c>
      <c r="L3" s="37"/>
      <c r="M3" s="38">
        <f t="shared" ref="M3:M34" si="2">K3/J3</f>
        <v>18.75</v>
      </c>
      <c r="N3" s="37">
        <f t="shared" ref="N3:N47" si="3">K3*$C$67*$C$68/1000</f>
        <v>81.014400000000009</v>
      </c>
      <c r="O3" s="65">
        <f t="shared" ref="O3:O46" si="4">N3/J3</f>
        <v>5.0634000000000005E-2</v>
      </c>
      <c r="R3" s="17"/>
      <c r="S3" s="17"/>
      <c r="T3" s="17"/>
      <c r="U3" s="17"/>
    </row>
    <row r="4" spans="1:21">
      <c r="A4" s="3">
        <v>2</v>
      </c>
      <c r="B4" s="3" t="s">
        <v>1</v>
      </c>
      <c r="C4" s="3">
        <v>15</v>
      </c>
      <c r="D4" s="3">
        <v>180</v>
      </c>
      <c r="E4" s="3" t="s">
        <v>14</v>
      </c>
      <c r="F4" s="3"/>
      <c r="G4" s="3">
        <v>225</v>
      </c>
      <c r="H4" s="3"/>
      <c r="I4" s="3">
        <v>200</v>
      </c>
      <c r="J4" s="37">
        <f t="shared" si="0"/>
        <v>2700</v>
      </c>
      <c r="K4" s="37">
        <f t="shared" si="1"/>
        <v>36000</v>
      </c>
      <c r="L4" s="37"/>
      <c r="M4" s="38">
        <f t="shared" si="2"/>
        <v>13.333333333333334</v>
      </c>
      <c r="N4" s="37">
        <f t="shared" si="3"/>
        <v>97.217280000000002</v>
      </c>
      <c r="O4" s="65">
        <f t="shared" si="4"/>
        <v>3.6006400000000001E-2</v>
      </c>
      <c r="R4" s="17"/>
      <c r="S4" s="17"/>
      <c r="T4" s="17"/>
      <c r="U4" s="17"/>
    </row>
    <row r="5" spans="1:21">
      <c r="A5" s="3">
        <v>3</v>
      </c>
      <c r="B5" s="3" t="s">
        <v>1</v>
      </c>
      <c r="C5" s="3">
        <v>15</v>
      </c>
      <c r="D5" s="3">
        <v>200</v>
      </c>
      <c r="E5" s="3" t="s">
        <v>14</v>
      </c>
      <c r="F5" s="3">
        <v>30</v>
      </c>
      <c r="G5" s="3">
        <v>225</v>
      </c>
      <c r="H5" s="3">
        <v>30</v>
      </c>
      <c r="I5" s="3">
        <v>120</v>
      </c>
      <c r="J5" s="37">
        <f t="shared" si="0"/>
        <v>3000</v>
      </c>
      <c r="K5" s="37">
        <f t="shared" si="1"/>
        <v>24000</v>
      </c>
      <c r="L5" s="37">
        <f>D5*F5/1000</f>
        <v>6</v>
      </c>
      <c r="M5" s="38">
        <f t="shared" si="2"/>
        <v>8</v>
      </c>
      <c r="N5" s="37">
        <f t="shared" si="3"/>
        <v>64.811520000000002</v>
      </c>
      <c r="O5" s="65">
        <f t="shared" si="4"/>
        <v>2.1603839999999999E-2</v>
      </c>
      <c r="R5" s="17"/>
      <c r="S5" s="24"/>
      <c r="T5" s="24"/>
      <c r="U5" s="17"/>
    </row>
    <row r="6" spans="1:21">
      <c r="A6" s="3">
        <v>4</v>
      </c>
      <c r="B6" s="3" t="s">
        <v>1</v>
      </c>
      <c r="C6" s="3">
        <v>15</v>
      </c>
      <c r="D6" s="3">
        <v>200</v>
      </c>
      <c r="E6" s="3" t="s">
        <v>14</v>
      </c>
      <c r="F6" s="3">
        <v>240</v>
      </c>
      <c r="G6" s="3">
        <v>340</v>
      </c>
      <c r="H6" s="3">
        <v>260</v>
      </c>
      <c r="I6" s="3">
        <v>280</v>
      </c>
      <c r="J6" s="37">
        <f t="shared" si="0"/>
        <v>3000</v>
      </c>
      <c r="K6" s="37">
        <f t="shared" si="1"/>
        <v>56000</v>
      </c>
      <c r="L6" s="37">
        <f>D6*F6/1000</f>
        <v>48</v>
      </c>
      <c r="M6" s="38">
        <f t="shared" si="2"/>
        <v>18.666666666666668</v>
      </c>
      <c r="N6" s="37">
        <f t="shared" si="3"/>
        <v>151.22687999999999</v>
      </c>
      <c r="O6" s="65">
        <f t="shared" si="4"/>
        <v>5.0408959999999996E-2</v>
      </c>
      <c r="R6" s="17"/>
      <c r="S6" s="21"/>
      <c r="T6" s="21"/>
      <c r="U6" s="17"/>
    </row>
    <row r="7" spans="1:21">
      <c r="A7" s="3">
        <v>6</v>
      </c>
      <c r="B7" s="3" t="s">
        <v>7</v>
      </c>
      <c r="C7" s="3">
        <v>1</v>
      </c>
      <c r="D7" s="3">
        <v>100</v>
      </c>
      <c r="E7" s="3" t="s">
        <v>14</v>
      </c>
      <c r="F7" s="3"/>
      <c r="G7" s="3"/>
      <c r="H7" s="3"/>
      <c r="I7" s="3">
        <v>20</v>
      </c>
      <c r="J7" s="37">
        <f t="shared" si="0"/>
        <v>100</v>
      </c>
      <c r="K7" s="37">
        <f t="shared" si="1"/>
        <v>2000</v>
      </c>
      <c r="L7" s="37"/>
      <c r="M7" s="38">
        <f t="shared" si="2"/>
        <v>20</v>
      </c>
      <c r="N7" s="37">
        <f t="shared" si="3"/>
        <v>5.4009600000000004</v>
      </c>
      <c r="O7" s="65">
        <f t="shared" si="4"/>
        <v>5.4009600000000005E-2</v>
      </c>
      <c r="R7" s="17"/>
      <c r="S7" s="17"/>
      <c r="T7" s="21"/>
      <c r="U7" s="17"/>
    </row>
    <row r="8" spans="1:21">
      <c r="A8" s="3">
        <v>7</v>
      </c>
      <c r="B8" s="3" t="s">
        <v>7</v>
      </c>
      <c r="C8" s="3">
        <v>1</v>
      </c>
      <c r="D8" s="3">
        <v>200</v>
      </c>
      <c r="E8" s="3" t="s">
        <v>14</v>
      </c>
      <c r="F8" s="3"/>
      <c r="G8" s="3"/>
      <c r="H8" s="3"/>
      <c r="I8" s="3">
        <v>20</v>
      </c>
      <c r="J8" s="37">
        <f t="shared" si="0"/>
        <v>200</v>
      </c>
      <c r="K8" s="37">
        <f t="shared" si="1"/>
        <v>4000</v>
      </c>
      <c r="L8" s="37"/>
      <c r="M8" s="38">
        <f t="shared" si="2"/>
        <v>20</v>
      </c>
      <c r="N8" s="37">
        <f t="shared" si="3"/>
        <v>10.801920000000001</v>
      </c>
      <c r="O8" s="65">
        <f t="shared" si="4"/>
        <v>5.4009600000000005E-2</v>
      </c>
      <c r="R8" s="17"/>
      <c r="S8" s="17"/>
      <c r="T8" s="21"/>
      <c r="U8" s="17"/>
    </row>
    <row r="9" spans="1:21">
      <c r="A9" s="3">
        <v>8</v>
      </c>
      <c r="B9" s="3" t="s">
        <v>11</v>
      </c>
      <c r="C9" s="3">
        <v>1.5</v>
      </c>
      <c r="D9" s="3">
        <v>200</v>
      </c>
      <c r="E9" s="3" t="s">
        <v>14</v>
      </c>
      <c r="F9" s="3"/>
      <c r="G9" s="3"/>
      <c r="H9" s="3"/>
      <c r="I9" s="3">
        <v>50</v>
      </c>
      <c r="J9" s="37">
        <f t="shared" si="0"/>
        <v>300</v>
      </c>
      <c r="K9" s="37">
        <f t="shared" si="1"/>
        <v>10000</v>
      </c>
      <c r="L9" s="37"/>
      <c r="M9" s="38">
        <f t="shared" si="2"/>
        <v>33.333333333333336</v>
      </c>
      <c r="N9" s="37">
        <f t="shared" si="3"/>
        <v>27.004800000000003</v>
      </c>
      <c r="O9" s="65">
        <f t="shared" si="4"/>
        <v>9.0016000000000013E-2</v>
      </c>
      <c r="R9" s="17"/>
      <c r="S9" s="17"/>
      <c r="T9" s="21"/>
      <c r="U9" s="17"/>
    </row>
    <row r="10" spans="1:21">
      <c r="A10" s="3">
        <v>9</v>
      </c>
      <c r="B10" s="3" t="s">
        <v>11</v>
      </c>
      <c r="C10" s="3">
        <v>1.8</v>
      </c>
      <c r="D10" s="3">
        <v>200</v>
      </c>
      <c r="E10" s="3" t="s">
        <v>14</v>
      </c>
      <c r="F10" s="3"/>
      <c r="G10" s="3"/>
      <c r="H10" s="3"/>
      <c r="I10" s="3">
        <v>40</v>
      </c>
      <c r="J10" s="37">
        <f t="shared" si="0"/>
        <v>360</v>
      </c>
      <c r="K10" s="37">
        <f t="shared" si="1"/>
        <v>8000</v>
      </c>
      <c r="L10" s="37"/>
      <c r="M10" s="38">
        <f t="shared" si="2"/>
        <v>22.222222222222221</v>
      </c>
      <c r="N10" s="37">
        <f t="shared" si="3"/>
        <v>21.603840000000002</v>
      </c>
      <c r="O10" s="65">
        <f t="shared" si="4"/>
        <v>6.001066666666667E-2</v>
      </c>
      <c r="R10" s="17"/>
      <c r="S10" s="17"/>
      <c r="T10" s="21"/>
      <c r="U10" s="17"/>
    </row>
    <row r="11" spans="1:21">
      <c r="A11" s="3">
        <v>10</v>
      </c>
      <c r="B11" s="3" t="s">
        <v>11</v>
      </c>
      <c r="C11" s="3">
        <v>2</v>
      </c>
      <c r="D11" s="3">
        <v>200</v>
      </c>
      <c r="E11" s="3" t="s">
        <v>14</v>
      </c>
      <c r="F11" s="3"/>
      <c r="G11" s="3"/>
      <c r="H11" s="3"/>
      <c r="I11" s="3">
        <v>50</v>
      </c>
      <c r="J11" s="37">
        <f t="shared" si="0"/>
        <v>400</v>
      </c>
      <c r="K11" s="37">
        <f t="shared" si="1"/>
        <v>10000</v>
      </c>
      <c r="L11" s="37"/>
      <c r="M11" s="38">
        <f t="shared" si="2"/>
        <v>25</v>
      </c>
      <c r="N11" s="37">
        <f t="shared" si="3"/>
        <v>27.004800000000003</v>
      </c>
      <c r="O11" s="65">
        <f t="shared" si="4"/>
        <v>6.7512000000000003E-2</v>
      </c>
      <c r="R11" s="17"/>
      <c r="S11" s="17"/>
      <c r="T11" s="21"/>
      <c r="U11" s="17"/>
    </row>
    <row r="12" spans="1:21">
      <c r="A12" s="3">
        <v>11</v>
      </c>
      <c r="B12" s="3" t="s">
        <v>11</v>
      </c>
      <c r="C12" s="3">
        <v>2</v>
      </c>
      <c r="D12" s="3">
        <v>200</v>
      </c>
      <c r="E12" s="3" t="s">
        <v>14</v>
      </c>
      <c r="F12" s="3"/>
      <c r="G12" s="3"/>
      <c r="H12" s="3"/>
      <c r="I12" s="3">
        <v>50</v>
      </c>
      <c r="J12" s="37">
        <f t="shared" si="0"/>
        <v>400</v>
      </c>
      <c r="K12" s="37">
        <f t="shared" si="1"/>
        <v>10000</v>
      </c>
      <c r="L12" s="37"/>
      <c r="M12" s="38">
        <f t="shared" si="2"/>
        <v>25</v>
      </c>
      <c r="N12" s="37">
        <f t="shared" si="3"/>
        <v>27.004800000000003</v>
      </c>
      <c r="O12" s="65">
        <f t="shared" si="4"/>
        <v>6.7512000000000003E-2</v>
      </c>
      <c r="R12" s="17"/>
      <c r="S12" s="17"/>
      <c r="T12" s="21"/>
      <c r="U12" s="17"/>
    </row>
    <row r="13" spans="1:21">
      <c r="A13" s="3">
        <v>12</v>
      </c>
      <c r="B13" s="3" t="s">
        <v>11</v>
      </c>
      <c r="C13" s="3">
        <v>2</v>
      </c>
      <c r="D13" s="3">
        <v>200</v>
      </c>
      <c r="E13" s="3" t="s">
        <v>14</v>
      </c>
      <c r="F13" s="3"/>
      <c r="G13" s="3"/>
      <c r="H13" s="3"/>
      <c r="I13" s="3">
        <v>50</v>
      </c>
      <c r="J13" s="37">
        <f t="shared" si="0"/>
        <v>400</v>
      </c>
      <c r="K13" s="37">
        <f t="shared" si="1"/>
        <v>10000</v>
      </c>
      <c r="L13" s="37"/>
      <c r="M13" s="38">
        <f t="shared" si="2"/>
        <v>25</v>
      </c>
      <c r="N13" s="37">
        <f t="shared" si="3"/>
        <v>27.004800000000003</v>
      </c>
      <c r="O13" s="65">
        <f t="shared" si="4"/>
        <v>6.7512000000000003E-2</v>
      </c>
      <c r="R13" s="17"/>
      <c r="S13" s="17"/>
      <c r="T13" s="21"/>
      <c r="U13" s="17"/>
    </row>
    <row r="14" spans="1:21">
      <c r="A14" s="3">
        <v>13</v>
      </c>
      <c r="B14" s="3" t="s">
        <v>11</v>
      </c>
      <c r="C14" s="3">
        <v>2</v>
      </c>
      <c r="D14" s="3">
        <v>200</v>
      </c>
      <c r="E14" s="3" t="s">
        <v>14</v>
      </c>
      <c r="F14" s="3"/>
      <c r="G14" s="3"/>
      <c r="H14" s="3"/>
      <c r="I14" s="3">
        <v>50</v>
      </c>
      <c r="J14" s="37">
        <f t="shared" si="0"/>
        <v>400</v>
      </c>
      <c r="K14" s="37">
        <f t="shared" si="1"/>
        <v>10000</v>
      </c>
      <c r="L14" s="37"/>
      <c r="M14" s="38">
        <f t="shared" si="2"/>
        <v>25</v>
      </c>
      <c r="N14" s="37">
        <f t="shared" si="3"/>
        <v>27.004800000000003</v>
      </c>
      <c r="O14" s="65">
        <f t="shared" si="4"/>
        <v>6.7512000000000003E-2</v>
      </c>
      <c r="R14" s="17"/>
      <c r="S14" s="17"/>
      <c r="T14" s="21"/>
      <c r="U14" s="17"/>
    </row>
    <row r="15" spans="1:21">
      <c r="A15" s="3">
        <v>14</v>
      </c>
      <c r="B15" s="3" t="s">
        <v>11</v>
      </c>
      <c r="C15" s="3">
        <v>2</v>
      </c>
      <c r="D15" s="3">
        <v>200</v>
      </c>
      <c r="E15" s="3" t="s">
        <v>14</v>
      </c>
      <c r="F15" s="3"/>
      <c r="G15" s="3"/>
      <c r="H15" s="3"/>
      <c r="I15" s="3">
        <v>50</v>
      </c>
      <c r="J15" s="37">
        <f t="shared" si="0"/>
        <v>400</v>
      </c>
      <c r="K15" s="37">
        <f t="shared" si="1"/>
        <v>10000</v>
      </c>
      <c r="L15" s="37"/>
      <c r="M15" s="38">
        <f t="shared" si="2"/>
        <v>25</v>
      </c>
      <c r="N15" s="37">
        <f t="shared" si="3"/>
        <v>27.004800000000003</v>
      </c>
      <c r="O15" s="65">
        <f t="shared" si="4"/>
        <v>6.7512000000000003E-2</v>
      </c>
      <c r="R15" s="17"/>
      <c r="S15" s="17"/>
      <c r="T15" s="21"/>
      <c r="U15" s="17"/>
    </row>
    <row r="16" spans="1:21">
      <c r="A16" s="3">
        <v>15</v>
      </c>
      <c r="B16" s="3" t="s">
        <v>11</v>
      </c>
      <c r="C16" s="3">
        <v>2</v>
      </c>
      <c r="D16" s="3">
        <v>200</v>
      </c>
      <c r="E16" s="3" t="s">
        <v>14</v>
      </c>
      <c r="F16" s="3"/>
      <c r="G16" s="3"/>
      <c r="H16" s="3"/>
      <c r="I16" s="3">
        <v>50</v>
      </c>
      <c r="J16" s="37">
        <f t="shared" si="0"/>
        <v>400</v>
      </c>
      <c r="K16" s="37">
        <f t="shared" si="1"/>
        <v>10000</v>
      </c>
      <c r="L16" s="37"/>
      <c r="M16" s="38">
        <f t="shared" si="2"/>
        <v>25</v>
      </c>
      <c r="N16" s="37">
        <f t="shared" si="3"/>
        <v>27.004800000000003</v>
      </c>
      <c r="O16" s="65">
        <f t="shared" si="4"/>
        <v>6.7512000000000003E-2</v>
      </c>
      <c r="R16" s="17"/>
      <c r="S16" s="17"/>
      <c r="T16" s="21"/>
      <c r="U16" s="17"/>
    </row>
    <row r="17" spans="1:21">
      <c r="A17" s="3">
        <v>16</v>
      </c>
      <c r="B17" s="3" t="s">
        <v>11</v>
      </c>
      <c r="C17" s="3">
        <v>2</v>
      </c>
      <c r="D17" s="3">
        <v>200</v>
      </c>
      <c r="E17" s="3" t="s">
        <v>14</v>
      </c>
      <c r="F17" s="3"/>
      <c r="G17" s="3"/>
      <c r="H17" s="3"/>
      <c r="I17" s="3">
        <v>50</v>
      </c>
      <c r="J17" s="37">
        <f t="shared" si="0"/>
        <v>400</v>
      </c>
      <c r="K17" s="37">
        <f t="shared" si="1"/>
        <v>10000</v>
      </c>
      <c r="L17" s="37"/>
      <c r="M17" s="38">
        <f t="shared" si="2"/>
        <v>25</v>
      </c>
      <c r="N17" s="37">
        <f t="shared" si="3"/>
        <v>27.004800000000003</v>
      </c>
      <c r="O17" s="65">
        <f t="shared" si="4"/>
        <v>6.7512000000000003E-2</v>
      </c>
      <c r="R17" s="17"/>
      <c r="S17" s="17"/>
      <c r="T17" s="21"/>
      <c r="U17" s="17"/>
    </row>
    <row r="18" spans="1:21">
      <c r="A18" s="3">
        <v>17</v>
      </c>
      <c r="B18" s="3" t="s">
        <v>11</v>
      </c>
      <c r="C18" s="3">
        <v>2</v>
      </c>
      <c r="D18" s="3">
        <v>200</v>
      </c>
      <c r="E18" s="3" t="s">
        <v>14</v>
      </c>
      <c r="F18" s="3"/>
      <c r="G18" s="3"/>
      <c r="H18" s="3"/>
      <c r="I18" s="3">
        <v>50</v>
      </c>
      <c r="J18" s="37">
        <f t="shared" si="0"/>
        <v>400</v>
      </c>
      <c r="K18" s="37">
        <f t="shared" si="1"/>
        <v>10000</v>
      </c>
      <c r="L18" s="37"/>
      <c r="M18" s="38">
        <f t="shared" si="2"/>
        <v>25</v>
      </c>
      <c r="N18" s="37">
        <f t="shared" si="3"/>
        <v>27.004800000000003</v>
      </c>
      <c r="O18" s="65">
        <f t="shared" si="4"/>
        <v>6.7512000000000003E-2</v>
      </c>
      <c r="R18" s="17"/>
      <c r="S18" s="17"/>
      <c r="T18" s="21"/>
      <c r="U18" s="17"/>
    </row>
    <row r="19" spans="1:21">
      <c r="A19" s="3">
        <v>18</v>
      </c>
      <c r="B19" s="3" t="s">
        <v>11</v>
      </c>
      <c r="C19" s="3">
        <v>2.5</v>
      </c>
      <c r="D19" s="3">
        <v>200</v>
      </c>
      <c r="E19" s="3" t="s">
        <v>14</v>
      </c>
      <c r="F19" s="3"/>
      <c r="G19" s="3"/>
      <c r="H19" s="3"/>
      <c r="I19" s="3">
        <v>60</v>
      </c>
      <c r="J19" s="37">
        <f t="shared" si="0"/>
        <v>500</v>
      </c>
      <c r="K19" s="37">
        <f t="shared" si="1"/>
        <v>12000</v>
      </c>
      <c r="L19" s="37"/>
      <c r="M19" s="38">
        <f t="shared" si="2"/>
        <v>24</v>
      </c>
      <c r="N19" s="37">
        <f t="shared" si="3"/>
        <v>32.405760000000001</v>
      </c>
      <c r="O19" s="65">
        <f t="shared" si="4"/>
        <v>6.4811519999999997E-2</v>
      </c>
      <c r="R19" s="17"/>
      <c r="S19" s="17"/>
      <c r="T19" s="21"/>
      <c r="U19" s="17"/>
    </row>
    <row r="20" spans="1:21">
      <c r="A20" s="3">
        <v>19</v>
      </c>
      <c r="B20" s="3" t="s">
        <v>11</v>
      </c>
      <c r="C20" s="3">
        <v>3</v>
      </c>
      <c r="D20" s="3">
        <v>200</v>
      </c>
      <c r="E20" s="3" t="s">
        <v>14</v>
      </c>
      <c r="F20" s="3"/>
      <c r="G20" s="3"/>
      <c r="H20" s="3"/>
      <c r="I20" s="3">
        <v>60</v>
      </c>
      <c r="J20" s="37">
        <f t="shared" si="0"/>
        <v>600</v>
      </c>
      <c r="K20" s="37">
        <f t="shared" si="1"/>
        <v>12000</v>
      </c>
      <c r="L20" s="37"/>
      <c r="M20" s="38">
        <f t="shared" si="2"/>
        <v>20</v>
      </c>
      <c r="N20" s="37">
        <f t="shared" si="3"/>
        <v>32.405760000000001</v>
      </c>
      <c r="O20" s="65">
        <f t="shared" si="4"/>
        <v>5.4009599999999998E-2</v>
      </c>
      <c r="P20" s="29"/>
      <c r="R20" s="17"/>
      <c r="S20" s="39"/>
      <c r="T20" s="21"/>
      <c r="U20" s="17"/>
    </row>
    <row r="21" spans="1:21">
      <c r="A21" s="3">
        <v>20</v>
      </c>
      <c r="B21" s="3" t="s">
        <v>11</v>
      </c>
      <c r="C21" s="3">
        <v>3</v>
      </c>
      <c r="D21" s="3">
        <v>200</v>
      </c>
      <c r="E21" s="3" t="s">
        <v>14</v>
      </c>
      <c r="F21" s="3"/>
      <c r="G21" s="3"/>
      <c r="H21" s="3"/>
      <c r="I21" s="3">
        <v>70</v>
      </c>
      <c r="J21" s="37">
        <f t="shared" si="0"/>
        <v>600</v>
      </c>
      <c r="K21" s="37">
        <f t="shared" si="1"/>
        <v>14000</v>
      </c>
      <c r="L21" s="37"/>
      <c r="M21" s="38">
        <f t="shared" si="2"/>
        <v>23.333333333333332</v>
      </c>
      <c r="N21" s="37">
        <f t="shared" si="3"/>
        <v>37.806719999999999</v>
      </c>
      <c r="O21" s="65">
        <f t="shared" si="4"/>
        <v>6.3011200000000003E-2</v>
      </c>
      <c r="R21" s="17"/>
      <c r="S21" s="17"/>
      <c r="T21" s="17"/>
      <c r="U21" s="17"/>
    </row>
    <row r="22" spans="1:21">
      <c r="A22" s="3">
        <v>21</v>
      </c>
      <c r="B22" s="3" t="s">
        <v>11</v>
      </c>
      <c r="C22" s="3">
        <v>3</v>
      </c>
      <c r="D22" s="3">
        <v>200</v>
      </c>
      <c r="E22" s="3" t="s">
        <v>14</v>
      </c>
      <c r="F22" s="3"/>
      <c r="G22" s="3"/>
      <c r="H22" s="3"/>
      <c r="I22" s="3">
        <v>70</v>
      </c>
      <c r="J22" s="37">
        <f t="shared" si="0"/>
        <v>600</v>
      </c>
      <c r="K22" s="37">
        <f t="shared" si="1"/>
        <v>14000</v>
      </c>
      <c r="L22" s="37"/>
      <c r="M22" s="38">
        <f t="shared" si="2"/>
        <v>23.333333333333332</v>
      </c>
      <c r="N22" s="37">
        <f t="shared" si="3"/>
        <v>37.806719999999999</v>
      </c>
      <c r="O22" s="65">
        <f t="shared" si="4"/>
        <v>6.3011200000000003E-2</v>
      </c>
      <c r="R22" s="17"/>
      <c r="S22" s="17"/>
      <c r="T22" s="17"/>
      <c r="U22" s="17"/>
    </row>
    <row r="23" spans="1:21">
      <c r="A23" s="3">
        <v>22</v>
      </c>
      <c r="B23" s="3" t="s">
        <v>12</v>
      </c>
      <c r="C23" s="3">
        <v>2</v>
      </c>
      <c r="D23" s="3">
        <v>240</v>
      </c>
      <c r="E23" s="3" t="s">
        <v>14</v>
      </c>
      <c r="F23" s="3"/>
      <c r="G23" s="3"/>
      <c r="H23" s="3"/>
      <c r="I23" s="3">
        <v>50</v>
      </c>
      <c r="J23" s="37">
        <f t="shared" si="0"/>
        <v>480</v>
      </c>
      <c r="K23" s="37">
        <f t="shared" si="1"/>
        <v>12000</v>
      </c>
      <c r="L23" s="37"/>
      <c r="M23" s="38">
        <f t="shared" si="2"/>
        <v>25</v>
      </c>
      <c r="N23" s="37">
        <f t="shared" si="3"/>
        <v>32.405760000000001</v>
      </c>
      <c r="O23" s="65">
        <f t="shared" si="4"/>
        <v>6.7512000000000003E-2</v>
      </c>
    </row>
    <row r="24" spans="1:21">
      <c r="A24" s="3">
        <v>23</v>
      </c>
      <c r="B24" s="3" t="s">
        <v>12</v>
      </c>
      <c r="C24" s="3">
        <v>7</v>
      </c>
      <c r="D24" s="3">
        <v>210</v>
      </c>
      <c r="E24" s="3" t="s">
        <v>14</v>
      </c>
      <c r="F24" s="3"/>
      <c r="G24" s="3"/>
      <c r="H24" s="3"/>
      <c r="I24" s="3">
        <v>180</v>
      </c>
      <c r="J24" s="37">
        <f t="shared" si="0"/>
        <v>1470</v>
      </c>
      <c r="K24" s="37">
        <f t="shared" si="1"/>
        <v>37800</v>
      </c>
      <c r="L24" s="37"/>
      <c r="M24" s="38">
        <f t="shared" si="2"/>
        <v>25.714285714285715</v>
      </c>
      <c r="N24" s="37">
        <f t="shared" si="3"/>
        <v>102.07814399999999</v>
      </c>
      <c r="O24" s="65">
        <f t="shared" si="4"/>
        <v>6.9440914285714278E-2</v>
      </c>
    </row>
    <row r="25" spans="1:21">
      <c r="A25" s="3">
        <v>24</v>
      </c>
      <c r="B25" s="3" t="s">
        <v>12</v>
      </c>
      <c r="C25" s="3">
        <v>8</v>
      </c>
      <c r="D25" s="3">
        <v>200</v>
      </c>
      <c r="E25" s="3" t="s">
        <v>14</v>
      </c>
      <c r="F25" s="3"/>
      <c r="G25" s="3"/>
      <c r="H25" s="3"/>
      <c r="I25" s="3">
        <v>180</v>
      </c>
      <c r="J25" s="37">
        <f t="shared" si="0"/>
        <v>1600</v>
      </c>
      <c r="K25" s="37">
        <f t="shared" si="1"/>
        <v>36000</v>
      </c>
      <c r="L25" s="37"/>
      <c r="M25" s="38">
        <f t="shared" si="2"/>
        <v>22.5</v>
      </c>
      <c r="N25" s="37">
        <f t="shared" si="3"/>
        <v>97.217280000000002</v>
      </c>
      <c r="O25" s="65">
        <f t="shared" si="4"/>
        <v>6.0760800000000004E-2</v>
      </c>
    </row>
    <row r="26" spans="1:21">
      <c r="A26" s="3">
        <v>25</v>
      </c>
      <c r="B26" s="3" t="s">
        <v>12</v>
      </c>
      <c r="C26" s="3">
        <v>8</v>
      </c>
      <c r="D26" s="3">
        <v>210</v>
      </c>
      <c r="E26" s="3" t="s">
        <v>14</v>
      </c>
      <c r="F26" s="3"/>
      <c r="G26" s="3"/>
      <c r="H26" s="3"/>
      <c r="I26" s="3">
        <v>180</v>
      </c>
      <c r="J26" s="37">
        <f t="shared" si="0"/>
        <v>1680</v>
      </c>
      <c r="K26" s="37">
        <f t="shared" si="1"/>
        <v>37800</v>
      </c>
      <c r="L26" s="37"/>
      <c r="M26" s="38">
        <f t="shared" si="2"/>
        <v>22.5</v>
      </c>
      <c r="N26" s="37">
        <f t="shared" si="3"/>
        <v>102.07814399999999</v>
      </c>
      <c r="O26" s="65">
        <f t="shared" si="4"/>
        <v>6.0760799999999997E-2</v>
      </c>
    </row>
    <row r="27" spans="1:21">
      <c r="A27" s="3">
        <v>26</v>
      </c>
      <c r="B27" s="3" t="s">
        <v>12</v>
      </c>
      <c r="C27" s="3">
        <v>10</v>
      </c>
      <c r="D27" s="3">
        <v>180</v>
      </c>
      <c r="E27" s="3" t="s">
        <v>14</v>
      </c>
      <c r="F27" s="3"/>
      <c r="G27" s="3"/>
      <c r="H27" s="3"/>
      <c r="I27" s="3">
        <v>210</v>
      </c>
      <c r="J27" s="37">
        <f t="shared" si="0"/>
        <v>1800</v>
      </c>
      <c r="K27" s="37">
        <f t="shared" si="1"/>
        <v>37800</v>
      </c>
      <c r="L27" s="37"/>
      <c r="M27" s="38">
        <f t="shared" si="2"/>
        <v>21</v>
      </c>
      <c r="N27" s="37">
        <f t="shared" si="3"/>
        <v>102.07814399999999</v>
      </c>
      <c r="O27" s="65">
        <f t="shared" si="4"/>
        <v>5.6710079999999996E-2</v>
      </c>
    </row>
    <row r="28" spans="1:21">
      <c r="A28" s="3">
        <v>27</v>
      </c>
      <c r="B28" s="3" t="s">
        <v>2</v>
      </c>
      <c r="C28" s="3">
        <v>8</v>
      </c>
      <c r="D28" s="3">
        <v>150</v>
      </c>
      <c r="E28" s="3" t="s">
        <v>14</v>
      </c>
      <c r="F28" s="3"/>
      <c r="G28" s="3"/>
      <c r="H28" s="3"/>
      <c r="I28" s="3">
        <v>200</v>
      </c>
      <c r="J28" s="37">
        <f t="shared" si="0"/>
        <v>1200</v>
      </c>
      <c r="K28" s="37">
        <f t="shared" si="1"/>
        <v>30000</v>
      </c>
      <c r="L28" s="37"/>
      <c r="M28" s="38">
        <f t="shared" si="2"/>
        <v>25</v>
      </c>
      <c r="N28" s="37">
        <f t="shared" si="3"/>
        <v>81.014400000000009</v>
      </c>
      <c r="O28" s="65">
        <f t="shared" si="4"/>
        <v>6.7512000000000003E-2</v>
      </c>
    </row>
    <row r="29" spans="1:21">
      <c r="A29" s="3">
        <v>28</v>
      </c>
      <c r="B29" s="3" t="s">
        <v>2</v>
      </c>
      <c r="C29" s="3">
        <v>8</v>
      </c>
      <c r="D29" s="3">
        <v>100</v>
      </c>
      <c r="E29" s="3" t="s">
        <v>14</v>
      </c>
      <c r="F29" s="3"/>
      <c r="G29" s="3"/>
      <c r="H29" s="3"/>
      <c r="I29" s="3">
        <v>150</v>
      </c>
      <c r="J29" s="37">
        <f t="shared" si="0"/>
        <v>800</v>
      </c>
      <c r="K29" s="37">
        <f t="shared" si="1"/>
        <v>15000</v>
      </c>
      <c r="L29" s="37"/>
      <c r="M29" s="38">
        <f t="shared" si="2"/>
        <v>18.75</v>
      </c>
      <c r="N29" s="37">
        <f t="shared" si="3"/>
        <v>40.507200000000005</v>
      </c>
      <c r="O29" s="65">
        <f t="shared" si="4"/>
        <v>5.0634000000000005E-2</v>
      </c>
    </row>
    <row r="30" spans="1:21">
      <c r="A30" s="3">
        <v>29</v>
      </c>
      <c r="B30" s="3" t="s">
        <v>2</v>
      </c>
      <c r="C30" s="3">
        <v>10</v>
      </c>
      <c r="D30" s="3">
        <v>150</v>
      </c>
      <c r="E30" s="3" t="s">
        <v>14</v>
      </c>
      <c r="F30" s="3"/>
      <c r="G30" s="3"/>
      <c r="H30" s="3"/>
      <c r="I30" s="3">
        <v>180</v>
      </c>
      <c r="J30" s="37">
        <f t="shared" si="0"/>
        <v>1500</v>
      </c>
      <c r="K30" s="37">
        <f t="shared" si="1"/>
        <v>27000</v>
      </c>
      <c r="L30" s="37"/>
      <c r="M30" s="38">
        <f t="shared" si="2"/>
        <v>18</v>
      </c>
      <c r="N30" s="37">
        <f t="shared" si="3"/>
        <v>72.912960000000012</v>
      </c>
      <c r="O30" s="65">
        <f t="shared" si="4"/>
        <v>4.8608640000000009E-2</v>
      </c>
    </row>
    <row r="31" spans="1:21">
      <c r="A31" s="3">
        <v>30</v>
      </c>
      <c r="B31" s="3" t="s">
        <v>2</v>
      </c>
      <c r="C31" s="3">
        <v>10</v>
      </c>
      <c r="D31" s="3">
        <v>180</v>
      </c>
      <c r="E31" s="3" t="s">
        <v>14</v>
      </c>
      <c r="F31" s="3"/>
      <c r="G31" s="3"/>
      <c r="H31" s="3"/>
      <c r="I31" s="3">
        <v>240</v>
      </c>
      <c r="J31" s="37">
        <f t="shared" si="0"/>
        <v>1800</v>
      </c>
      <c r="K31" s="37">
        <f t="shared" si="1"/>
        <v>43200</v>
      </c>
      <c r="L31" s="37"/>
      <c r="M31" s="38">
        <f t="shared" si="2"/>
        <v>24</v>
      </c>
      <c r="N31" s="37">
        <f t="shared" si="3"/>
        <v>116.66073599999999</v>
      </c>
      <c r="O31" s="65">
        <f t="shared" si="4"/>
        <v>6.4811519999999997E-2</v>
      </c>
    </row>
    <row r="32" spans="1:21">
      <c r="A32" s="3">
        <v>31</v>
      </c>
      <c r="B32" s="3" t="s">
        <v>2</v>
      </c>
      <c r="C32" s="3">
        <v>6</v>
      </c>
      <c r="D32" s="3">
        <v>330</v>
      </c>
      <c r="E32" s="3" t="s">
        <v>14</v>
      </c>
      <c r="F32" s="3"/>
      <c r="G32" s="3"/>
      <c r="H32" s="3">
        <v>75</v>
      </c>
      <c r="I32" s="3">
        <v>180</v>
      </c>
      <c r="J32" s="37">
        <f t="shared" si="0"/>
        <v>1980</v>
      </c>
      <c r="K32" s="37">
        <f t="shared" si="1"/>
        <v>59400</v>
      </c>
      <c r="L32" s="37"/>
      <c r="M32" s="38">
        <f t="shared" si="2"/>
        <v>30</v>
      </c>
      <c r="N32" s="37">
        <f t="shared" si="3"/>
        <v>160.408512</v>
      </c>
      <c r="O32" s="65">
        <f t="shared" si="4"/>
        <v>8.10144E-2</v>
      </c>
    </row>
    <row r="33" spans="1:15">
      <c r="A33" s="3">
        <v>32</v>
      </c>
      <c r="B33" s="3" t="s">
        <v>2</v>
      </c>
      <c r="C33" s="3">
        <v>10</v>
      </c>
      <c r="D33" s="3">
        <v>200</v>
      </c>
      <c r="E33" s="3" t="s">
        <v>14</v>
      </c>
      <c r="F33" s="3"/>
      <c r="G33" s="3"/>
      <c r="H33" s="3"/>
      <c r="I33" s="3">
        <v>300</v>
      </c>
      <c r="J33" s="37">
        <f t="shared" si="0"/>
        <v>2000</v>
      </c>
      <c r="K33" s="37">
        <f t="shared" si="1"/>
        <v>60000</v>
      </c>
      <c r="L33" s="37"/>
      <c r="M33" s="38">
        <f t="shared" si="2"/>
        <v>30</v>
      </c>
      <c r="N33" s="37">
        <f t="shared" si="3"/>
        <v>162.02880000000002</v>
      </c>
      <c r="O33" s="65">
        <f t="shared" si="4"/>
        <v>8.1014400000000014E-2</v>
      </c>
    </row>
    <row r="34" spans="1:15">
      <c r="A34" s="3">
        <v>33</v>
      </c>
      <c r="B34" s="3" t="s">
        <v>2</v>
      </c>
      <c r="C34" s="3">
        <v>10</v>
      </c>
      <c r="D34" s="3">
        <v>200</v>
      </c>
      <c r="E34" s="3" t="s">
        <v>14</v>
      </c>
      <c r="F34" s="3"/>
      <c r="G34" s="3"/>
      <c r="H34" s="3"/>
      <c r="I34" s="3">
        <v>240</v>
      </c>
      <c r="J34" s="37">
        <f t="shared" si="0"/>
        <v>2000</v>
      </c>
      <c r="K34" s="37">
        <f t="shared" si="1"/>
        <v>48000</v>
      </c>
      <c r="L34" s="37"/>
      <c r="M34" s="38">
        <f t="shared" si="2"/>
        <v>24</v>
      </c>
      <c r="N34" s="37">
        <f t="shared" si="3"/>
        <v>129.62304</v>
      </c>
      <c r="O34" s="65">
        <f t="shared" si="4"/>
        <v>6.4811519999999997E-2</v>
      </c>
    </row>
    <row r="35" spans="1:15">
      <c r="A35" s="3">
        <v>34</v>
      </c>
      <c r="B35" s="3" t="s">
        <v>2</v>
      </c>
      <c r="C35" s="3">
        <v>10</v>
      </c>
      <c r="D35" s="3">
        <v>200</v>
      </c>
      <c r="E35" s="3" t="s">
        <v>14</v>
      </c>
      <c r="F35" s="3"/>
      <c r="G35" s="3"/>
      <c r="H35" s="3"/>
      <c r="I35" s="3">
        <v>210</v>
      </c>
      <c r="J35" s="37">
        <f t="shared" ref="J35:J65" si="5">C35*D35</f>
        <v>2000</v>
      </c>
      <c r="K35" s="37">
        <f t="shared" ref="K35:K65" si="6">D35*I35</f>
        <v>42000</v>
      </c>
      <c r="L35" s="37"/>
      <c r="M35" s="38">
        <f t="shared" ref="M35:M63" si="7">K35/J35</f>
        <v>21</v>
      </c>
      <c r="N35" s="37">
        <f t="shared" si="3"/>
        <v>113.42016000000002</v>
      </c>
      <c r="O35" s="65">
        <f t="shared" si="4"/>
        <v>5.671008000000001E-2</v>
      </c>
    </row>
    <row r="36" spans="1:15">
      <c r="A36" s="3">
        <v>35</v>
      </c>
      <c r="B36" s="3" t="s">
        <v>2</v>
      </c>
      <c r="C36" s="3">
        <v>12</v>
      </c>
      <c r="D36" s="3">
        <v>180</v>
      </c>
      <c r="E36" s="3" t="s">
        <v>14</v>
      </c>
      <c r="F36" s="3"/>
      <c r="G36" s="3"/>
      <c r="H36" s="3"/>
      <c r="I36" s="3">
        <v>240</v>
      </c>
      <c r="J36" s="37">
        <f t="shared" si="5"/>
        <v>2160</v>
      </c>
      <c r="K36" s="37">
        <f t="shared" si="6"/>
        <v>43200</v>
      </c>
      <c r="L36" s="37"/>
      <c r="M36" s="38">
        <f t="shared" si="7"/>
        <v>20</v>
      </c>
      <c r="N36" s="37">
        <f t="shared" si="3"/>
        <v>116.66073599999999</v>
      </c>
      <c r="O36" s="65">
        <f t="shared" si="4"/>
        <v>5.4009599999999991E-2</v>
      </c>
    </row>
    <row r="37" spans="1:15">
      <c r="A37" s="3">
        <v>36</v>
      </c>
      <c r="B37" s="3" t="s">
        <v>2</v>
      </c>
      <c r="C37" s="3">
        <v>13</v>
      </c>
      <c r="D37" s="3">
        <v>210</v>
      </c>
      <c r="E37" s="3" t="s">
        <v>14</v>
      </c>
      <c r="F37" s="3"/>
      <c r="G37" s="3">
        <v>30</v>
      </c>
      <c r="H37" s="3">
        <v>30</v>
      </c>
      <c r="I37" s="3">
        <v>210</v>
      </c>
      <c r="J37" s="37">
        <f t="shared" si="5"/>
        <v>2730</v>
      </c>
      <c r="K37" s="37">
        <f t="shared" si="6"/>
        <v>44100</v>
      </c>
      <c r="L37" s="37"/>
      <c r="M37" s="38">
        <f t="shared" si="7"/>
        <v>16.153846153846153</v>
      </c>
      <c r="N37" s="37">
        <f t="shared" si="3"/>
        <v>119.09116800000001</v>
      </c>
      <c r="O37" s="65">
        <f t="shared" si="4"/>
        <v>4.3623138461538466E-2</v>
      </c>
    </row>
    <row r="38" spans="1:15">
      <c r="A38" s="3">
        <v>37</v>
      </c>
      <c r="B38" s="3" t="s">
        <v>2</v>
      </c>
      <c r="C38" s="3">
        <v>15</v>
      </c>
      <c r="D38" s="3">
        <v>240</v>
      </c>
      <c r="E38" s="3" t="s">
        <v>14</v>
      </c>
      <c r="F38" s="3"/>
      <c r="G38" s="3"/>
      <c r="H38" s="3"/>
      <c r="I38" s="3">
        <v>270</v>
      </c>
      <c r="J38" s="37">
        <f t="shared" si="5"/>
        <v>3600</v>
      </c>
      <c r="K38" s="37">
        <f t="shared" si="6"/>
        <v>64800</v>
      </c>
      <c r="L38" s="37"/>
      <c r="M38" s="38">
        <f t="shared" si="7"/>
        <v>18</v>
      </c>
      <c r="N38" s="37">
        <f t="shared" si="3"/>
        <v>174.99110400000001</v>
      </c>
      <c r="O38" s="65">
        <f t="shared" si="4"/>
        <v>4.8608640000000002E-2</v>
      </c>
    </row>
    <row r="39" spans="1:15">
      <c r="A39" s="3">
        <v>38</v>
      </c>
      <c r="B39" s="3" t="s">
        <v>2</v>
      </c>
      <c r="C39" s="3">
        <v>18</v>
      </c>
      <c r="D39" s="3">
        <v>200</v>
      </c>
      <c r="E39" s="3" t="s">
        <v>14</v>
      </c>
      <c r="F39" s="3">
        <v>900</v>
      </c>
      <c r="G39" s="3">
        <v>250</v>
      </c>
      <c r="H39" s="3"/>
      <c r="I39" s="3">
        <v>270</v>
      </c>
      <c r="J39" s="37">
        <f t="shared" si="5"/>
        <v>3600</v>
      </c>
      <c r="K39" s="37">
        <f t="shared" si="6"/>
        <v>54000</v>
      </c>
      <c r="L39" s="37">
        <f>D39*F39/1000</f>
        <v>180</v>
      </c>
      <c r="M39" s="38">
        <f t="shared" si="7"/>
        <v>15</v>
      </c>
      <c r="N39" s="37">
        <f t="shared" si="3"/>
        <v>145.82592000000002</v>
      </c>
      <c r="O39" s="65">
        <f t="shared" si="4"/>
        <v>4.0507200000000007E-2</v>
      </c>
    </row>
    <row r="40" spans="1:15">
      <c r="A40" s="3">
        <v>39</v>
      </c>
      <c r="B40" s="3" t="s">
        <v>5</v>
      </c>
      <c r="C40" s="3">
        <v>1</v>
      </c>
      <c r="D40" s="3">
        <v>90</v>
      </c>
      <c r="E40" s="3" t="s">
        <v>14</v>
      </c>
      <c r="F40" s="3"/>
      <c r="G40" s="3"/>
      <c r="H40" s="3"/>
      <c r="I40" s="3">
        <v>20</v>
      </c>
      <c r="J40" s="37">
        <f t="shared" si="5"/>
        <v>90</v>
      </c>
      <c r="K40" s="37">
        <f t="shared" si="6"/>
        <v>1800</v>
      </c>
      <c r="L40" s="37"/>
      <c r="M40" s="38">
        <f t="shared" si="7"/>
        <v>20</v>
      </c>
      <c r="N40" s="37">
        <f t="shared" si="3"/>
        <v>4.8608640000000003</v>
      </c>
      <c r="O40" s="65">
        <f t="shared" si="4"/>
        <v>5.4009600000000005E-2</v>
      </c>
    </row>
    <row r="41" spans="1:15">
      <c r="A41" s="3">
        <v>40</v>
      </c>
      <c r="B41" s="3" t="s">
        <v>5</v>
      </c>
      <c r="C41" s="3">
        <v>2</v>
      </c>
      <c r="D41" s="3">
        <v>200</v>
      </c>
      <c r="E41" s="3" t="s">
        <v>14</v>
      </c>
      <c r="F41" s="3"/>
      <c r="G41" s="3"/>
      <c r="H41" s="3"/>
      <c r="I41" s="3">
        <v>50</v>
      </c>
      <c r="J41" s="37">
        <f t="shared" si="5"/>
        <v>400</v>
      </c>
      <c r="K41" s="37">
        <f t="shared" si="6"/>
        <v>10000</v>
      </c>
      <c r="L41" s="37"/>
      <c r="M41" s="38">
        <f t="shared" si="7"/>
        <v>25</v>
      </c>
      <c r="N41" s="37">
        <f t="shared" si="3"/>
        <v>27.004800000000003</v>
      </c>
      <c r="O41" s="65">
        <f t="shared" si="4"/>
        <v>6.7512000000000003E-2</v>
      </c>
    </row>
    <row r="42" spans="1:15">
      <c r="A42" s="3">
        <v>41</v>
      </c>
      <c r="B42" s="3" t="s">
        <v>5</v>
      </c>
      <c r="C42" s="3">
        <v>16</v>
      </c>
      <c r="D42" s="3">
        <v>320</v>
      </c>
      <c r="E42" s="3" t="s">
        <v>14</v>
      </c>
      <c r="F42" s="3"/>
      <c r="G42" s="3"/>
      <c r="H42" s="3"/>
      <c r="I42" s="3">
        <v>350</v>
      </c>
      <c r="J42" s="37">
        <f t="shared" si="5"/>
        <v>5120</v>
      </c>
      <c r="K42" s="37">
        <f t="shared" si="6"/>
        <v>112000</v>
      </c>
      <c r="L42" s="37"/>
      <c r="M42" s="38">
        <f t="shared" si="7"/>
        <v>21.875</v>
      </c>
      <c r="N42" s="37">
        <f t="shared" si="3"/>
        <v>302.45375999999999</v>
      </c>
      <c r="O42" s="65">
        <f t="shared" si="4"/>
        <v>5.9073000000000001E-2</v>
      </c>
    </row>
    <row r="43" spans="1:15">
      <c r="A43" s="3">
        <v>42</v>
      </c>
      <c r="B43" s="3" t="s">
        <v>6</v>
      </c>
      <c r="C43" s="3">
        <v>1</v>
      </c>
      <c r="D43" s="3">
        <v>100</v>
      </c>
      <c r="E43" s="3" t="s">
        <v>14</v>
      </c>
      <c r="F43" s="3"/>
      <c r="G43" s="3"/>
      <c r="H43" s="3"/>
      <c r="I43" s="3">
        <v>20</v>
      </c>
      <c r="J43" s="37">
        <f t="shared" si="5"/>
        <v>100</v>
      </c>
      <c r="K43" s="37">
        <f t="shared" si="6"/>
        <v>2000</v>
      </c>
      <c r="L43" s="37"/>
      <c r="M43" s="38">
        <f t="shared" si="7"/>
        <v>20</v>
      </c>
      <c r="N43" s="37">
        <f t="shared" si="3"/>
        <v>5.4009600000000004</v>
      </c>
      <c r="O43" s="65">
        <f t="shared" si="4"/>
        <v>5.4009600000000005E-2</v>
      </c>
    </row>
    <row r="44" spans="1:15">
      <c r="A44" s="3">
        <v>43</v>
      </c>
      <c r="B44" s="3" t="s">
        <v>10</v>
      </c>
      <c r="C44" s="3">
        <v>1</v>
      </c>
      <c r="D44" s="3">
        <v>100</v>
      </c>
      <c r="E44" s="3" t="s">
        <v>14</v>
      </c>
      <c r="F44" s="3"/>
      <c r="G44" s="3"/>
      <c r="H44" s="3"/>
      <c r="I44" s="3">
        <v>20</v>
      </c>
      <c r="J44" s="37">
        <f t="shared" si="5"/>
        <v>100</v>
      </c>
      <c r="K44" s="37">
        <f t="shared" si="6"/>
        <v>2000</v>
      </c>
      <c r="L44" s="37"/>
      <c r="M44" s="38">
        <f t="shared" si="7"/>
        <v>20</v>
      </c>
      <c r="N44" s="37">
        <f t="shared" si="3"/>
        <v>5.4009600000000004</v>
      </c>
      <c r="O44" s="65">
        <f t="shared" si="4"/>
        <v>5.4009600000000005E-2</v>
      </c>
    </row>
    <row r="45" spans="1:15">
      <c r="A45" s="3">
        <v>44</v>
      </c>
      <c r="B45" s="3" t="s">
        <v>10</v>
      </c>
      <c r="C45" s="3">
        <v>15</v>
      </c>
      <c r="D45" s="3">
        <v>210</v>
      </c>
      <c r="E45" s="3" t="s">
        <v>14</v>
      </c>
      <c r="F45" s="3"/>
      <c r="G45" s="3"/>
      <c r="H45" s="3"/>
      <c r="I45" s="3">
        <v>180</v>
      </c>
      <c r="J45" s="37">
        <f t="shared" si="5"/>
        <v>3150</v>
      </c>
      <c r="K45" s="37">
        <f t="shared" si="6"/>
        <v>37800</v>
      </c>
      <c r="L45" s="37"/>
      <c r="M45" s="38">
        <f t="shared" si="7"/>
        <v>12</v>
      </c>
      <c r="N45" s="37">
        <f t="shared" si="3"/>
        <v>102.07814399999999</v>
      </c>
      <c r="O45" s="65">
        <f t="shared" si="4"/>
        <v>3.2405759999999999E-2</v>
      </c>
    </row>
    <row r="46" spans="1:15">
      <c r="A46" s="3">
        <v>46</v>
      </c>
      <c r="B46" s="3" t="s">
        <v>10</v>
      </c>
      <c r="C46" s="3">
        <v>20</v>
      </c>
      <c r="D46" s="3">
        <v>240</v>
      </c>
      <c r="E46" s="3" t="s">
        <v>14</v>
      </c>
      <c r="F46" s="3"/>
      <c r="G46" s="3"/>
      <c r="H46" s="3"/>
      <c r="I46" s="3">
        <v>210</v>
      </c>
      <c r="J46" s="37">
        <f t="shared" si="5"/>
        <v>4800</v>
      </c>
      <c r="K46" s="37">
        <f t="shared" si="6"/>
        <v>50400</v>
      </c>
      <c r="L46" s="37"/>
      <c r="M46" s="38">
        <f t="shared" si="7"/>
        <v>10.5</v>
      </c>
      <c r="N46" s="37">
        <f t="shared" si="3"/>
        <v>136.10419200000001</v>
      </c>
      <c r="O46" s="65">
        <f t="shared" si="4"/>
        <v>2.8355040000000001E-2</v>
      </c>
    </row>
    <row r="47" spans="1:15">
      <c r="A47" s="3">
        <v>47</v>
      </c>
      <c r="B47" s="3" t="s">
        <v>10</v>
      </c>
      <c r="C47" s="3">
        <v>25</v>
      </c>
      <c r="D47" s="3">
        <v>210</v>
      </c>
      <c r="E47" s="3" t="s">
        <v>14</v>
      </c>
      <c r="F47" s="3"/>
      <c r="G47" s="3"/>
      <c r="H47" s="3"/>
      <c r="I47" s="3">
        <v>250</v>
      </c>
      <c r="J47" s="37">
        <f t="shared" si="5"/>
        <v>5250</v>
      </c>
      <c r="K47" s="37">
        <f t="shared" si="6"/>
        <v>52500</v>
      </c>
      <c r="L47" s="37"/>
      <c r="M47" s="38">
        <f t="shared" si="7"/>
        <v>10</v>
      </c>
      <c r="N47" s="37">
        <f t="shared" si="3"/>
        <v>141.77520000000001</v>
      </c>
      <c r="O47" s="65">
        <f>L47*C69/J47</f>
        <v>0</v>
      </c>
    </row>
    <row r="48" spans="1:15">
      <c r="A48" s="3">
        <v>48</v>
      </c>
      <c r="B48" s="3" t="s">
        <v>10</v>
      </c>
      <c r="C48" s="3">
        <v>27</v>
      </c>
      <c r="D48" s="3">
        <v>198</v>
      </c>
      <c r="E48" s="3" t="s">
        <v>14</v>
      </c>
      <c r="F48" s="3"/>
      <c r="G48" s="3"/>
      <c r="H48" s="3"/>
      <c r="I48" s="3">
        <v>550</v>
      </c>
      <c r="J48" s="37">
        <f t="shared" si="5"/>
        <v>5346</v>
      </c>
      <c r="K48" s="37">
        <f t="shared" si="6"/>
        <v>108900</v>
      </c>
      <c r="L48" s="37"/>
      <c r="M48" s="38">
        <f t="shared" si="7"/>
        <v>20.37037037037037</v>
      </c>
      <c r="N48" s="37">
        <f t="shared" ref="N48:N65" si="8">K48*$C$67*$C$68/1000</f>
        <v>294.08227199999999</v>
      </c>
      <c r="O48" s="65">
        <f t="shared" ref="O48:O63" si="9">N48/J48</f>
        <v>5.5009777777777775E-2</v>
      </c>
    </row>
    <row r="49" spans="1:15">
      <c r="A49" s="3">
        <v>49</v>
      </c>
      <c r="B49" s="3" t="s">
        <v>0</v>
      </c>
      <c r="C49" s="3">
        <v>3.6</v>
      </c>
      <c r="D49" s="3">
        <v>100</v>
      </c>
      <c r="E49" s="3" t="s">
        <v>14</v>
      </c>
      <c r="F49" s="3"/>
      <c r="G49" s="3">
        <v>90</v>
      </c>
      <c r="H49" s="3"/>
      <c r="I49" s="3">
        <v>120</v>
      </c>
      <c r="J49" s="37">
        <f t="shared" si="5"/>
        <v>360</v>
      </c>
      <c r="K49" s="37">
        <f t="shared" si="6"/>
        <v>12000</v>
      </c>
      <c r="L49" s="37"/>
      <c r="M49" s="38">
        <f t="shared" si="7"/>
        <v>33.333333333333336</v>
      </c>
      <c r="N49" s="37">
        <f t="shared" si="8"/>
        <v>32.405760000000001</v>
      </c>
      <c r="O49" s="65">
        <f t="shared" si="9"/>
        <v>9.0015999999999999E-2</v>
      </c>
    </row>
    <row r="50" spans="1:15">
      <c r="A50" s="3">
        <v>50</v>
      </c>
      <c r="B50" s="3" t="s">
        <v>0</v>
      </c>
      <c r="C50" s="3">
        <v>3.6</v>
      </c>
      <c r="D50" s="3">
        <v>150</v>
      </c>
      <c r="E50" s="3" t="s">
        <v>14</v>
      </c>
      <c r="F50" s="3"/>
      <c r="G50" s="3"/>
      <c r="H50" s="3">
        <v>37</v>
      </c>
      <c r="I50" s="3">
        <v>45</v>
      </c>
      <c r="J50" s="37">
        <f t="shared" si="5"/>
        <v>540</v>
      </c>
      <c r="K50" s="37">
        <f t="shared" si="6"/>
        <v>6750</v>
      </c>
      <c r="L50" s="37"/>
      <c r="M50" s="38">
        <f t="shared" si="7"/>
        <v>12.5</v>
      </c>
      <c r="N50" s="37">
        <f t="shared" si="8"/>
        <v>18.228240000000003</v>
      </c>
      <c r="O50" s="65">
        <f t="shared" si="9"/>
        <v>3.3756000000000008E-2</v>
      </c>
    </row>
    <row r="51" spans="1:15">
      <c r="A51" s="3">
        <v>51</v>
      </c>
      <c r="B51" s="3" t="s">
        <v>0</v>
      </c>
      <c r="C51" s="3">
        <v>6.4</v>
      </c>
      <c r="D51" s="3">
        <v>150</v>
      </c>
      <c r="E51" s="3" t="s">
        <v>14</v>
      </c>
      <c r="F51" s="3"/>
      <c r="G51" s="3"/>
      <c r="H51" s="3">
        <v>37</v>
      </c>
      <c r="I51" s="3">
        <v>80</v>
      </c>
      <c r="J51" s="37">
        <f t="shared" si="5"/>
        <v>960</v>
      </c>
      <c r="K51" s="37">
        <f t="shared" si="6"/>
        <v>12000</v>
      </c>
      <c r="L51" s="37"/>
      <c r="M51" s="38">
        <f t="shared" si="7"/>
        <v>12.5</v>
      </c>
      <c r="N51" s="37">
        <f t="shared" si="8"/>
        <v>32.405760000000001</v>
      </c>
      <c r="O51" s="65">
        <f t="shared" si="9"/>
        <v>3.3756000000000001E-2</v>
      </c>
    </row>
    <row r="52" spans="1:15">
      <c r="A52" s="3">
        <v>52</v>
      </c>
      <c r="B52" s="3" t="s">
        <v>0</v>
      </c>
      <c r="C52" s="3">
        <v>7.2</v>
      </c>
      <c r="D52" s="3">
        <v>150</v>
      </c>
      <c r="E52" s="3" t="s">
        <v>14</v>
      </c>
      <c r="F52" s="3"/>
      <c r="G52" s="3">
        <v>265</v>
      </c>
      <c r="H52" s="3"/>
      <c r="I52" s="3">
        <v>90</v>
      </c>
      <c r="J52" s="37">
        <f t="shared" si="5"/>
        <v>1080</v>
      </c>
      <c r="K52" s="37">
        <f t="shared" si="6"/>
        <v>13500</v>
      </c>
      <c r="L52" s="37"/>
      <c r="M52" s="38">
        <f t="shared" si="7"/>
        <v>12.5</v>
      </c>
      <c r="N52" s="37">
        <f t="shared" si="8"/>
        <v>36.456480000000006</v>
      </c>
      <c r="O52" s="65">
        <f t="shared" si="9"/>
        <v>3.3756000000000008E-2</v>
      </c>
    </row>
    <row r="53" spans="1:15">
      <c r="A53" s="3">
        <v>53</v>
      </c>
      <c r="B53" s="3" t="s">
        <v>0</v>
      </c>
      <c r="C53" s="3">
        <v>5.4</v>
      </c>
      <c r="D53" s="3">
        <v>200</v>
      </c>
      <c r="E53" s="3" t="s">
        <v>14</v>
      </c>
      <c r="F53" s="3"/>
      <c r="G53" s="3">
        <v>150</v>
      </c>
      <c r="H53" s="3"/>
      <c r="I53" s="3">
        <v>60</v>
      </c>
      <c r="J53" s="37">
        <f t="shared" si="5"/>
        <v>1080</v>
      </c>
      <c r="K53" s="37">
        <f t="shared" si="6"/>
        <v>12000</v>
      </c>
      <c r="L53" s="37"/>
      <c r="M53" s="38">
        <f t="shared" si="7"/>
        <v>11.111111111111111</v>
      </c>
      <c r="N53" s="37">
        <f t="shared" si="8"/>
        <v>32.405760000000001</v>
      </c>
      <c r="O53" s="65">
        <f t="shared" si="9"/>
        <v>3.0005333333333335E-2</v>
      </c>
    </row>
    <row r="54" spans="1:15">
      <c r="A54" s="3">
        <v>54</v>
      </c>
      <c r="B54" s="3" t="s">
        <v>0</v>
      </c>
      <c r="C54" s="3">
        <v>6.4</v>
      </c>
      <c r="D54" s="3">
        <v>200</v>
      </c>
      <c r="E54" s="3" t="s">
        <v>14</v>
      </c>
      <c r="F54" s="3"/>
      <c r="G54" s="3">
        <v>225</v>
      </c>
      <c r="H54" s="3"/>
      <c r="I54" s="3">
        <v>70</v>
      </c>
      <c r="J54" s="37">
        <f t="shared" si="5"/>
        <v>1280</v>
      </c>
      <c r="K54" s="37">
        <f t="shared" si="6"/>
        <v>14000</v>
      </c>
      <c r="L54" s="37"/>
      <c r="M54" s="38">
        <f t="shared" si="7"/>
        <v>10.9375</v>
      </c>
      <c r="N54" s="37">
        <f t="shared" si="8"/>
        <v>37.806719999999999</v>
      </c>
      <c r="O54" s="65">
        <f t="shared" si="9"/>
        <v>2.95365E-2</v>
      </c>
    </row>
    <row r="55" spans="1:15">
      <c r="A55" s="3">
        <v>55</v>
      </c>
      <c r="B55" s="3" t="s">
        <v>0</v>
      </c>
      <c r="C55" s="3">
        <v>18</v>
      </c>
      <c r="D55" s="3">
        <v>75</v>
      </c>
      <c r="E55" s="3" t="s">
        <v>14</v>
      </c>
      <c r="F55" s="3">
        <v>50</v>
      </c>
      <c r="G55" s="3">
        <v>300</v>
      </c>
      <c r="H55" s="3">
        <v>50</v>
      </c>
      <c r="I55" s="3">
        <v>220</v>
      </c>
      <c r="J55" s="37">
        <f t="shared" si="5"/>
        <v>1350</v>
      </c>
      <c r="K55" s="37">
        <f t="shared" si="6"/>
        <v>16500</v>
      </c>
      <c r="L55" s="37">
        <f>D55*F55/1000</f>
        <v>3.75</v>
      </c>
      <c r="M55" s="38">
        <f t="shared" si="7"/>
        <v>12.222222222222221</v>
      </c>
      <c r="N55" s="37">
        <f t="shared" si="8"/>
        <v>44.557920000000003</v>
      </c>
      <c r="O55" s="65">
        <f t="shared" si="9"/>
        <v>3.3005866666666668E-2</v>
      </c>
    </row>
    <row r="56" spans="1:15">
      <c r="A56" s="3">
        <v>56</v>
      </c>
      <c r="B56" s="3" t="s">
        <v>0</v>
      </c>
      <c r="C56" s="3">
        <v>8</v>
      </c>
      <c r="D56" s="3">
        <v>200</v>
      </c>
      <c r="E56" s="3" t="s">
        <v>14</v>
      </c>
      <c r="F56" s="3"/>
      <c r="G56" s="40">
        <v>90.72</v>
      </c>
      <c r="H56" s="3"/>
      <c r="I56" s="3">
        <v>90</v>
      </c>
      <c r="J56" s="37">
        <f t="shared" si="5"/>
        <v>1600</v>
      </c>
      <c r="K56" s="37">
        <f t="shared" si="6"/>
        <v>18000</v>
      </c>
      <c r="L56" s="37"/>
      <c r="M56" s="38">
        <f t="shared" si="7"/>
        <v>11.25</v>
      </c>
      <c r="N56" s="37">
        <f t="shared" si="8"/>
        <v>48.608640000000001</v>
      </c>
      <c r="O56" s="65">
        <f t="shared" si="9"/>
        <v>3.0380400000000002E-2</v>
      </c>
    </row>
    <row r="57" spans="1:15">
      <c r="A57" s="3">
        <v>57</v>
      </c>
      <c r="B57" s="3" t="s">
        <v>0</v>
      </c>
      <c r="C57" s="3">
        <v>9.6</v>
      </c>
      <c r="D57" s="3">
        <v>200</v>
      </c>
      <c r="E57" s="3" t="s">
        <v>14</v>
      </c>
      <c r="F57" s="3"/>
      <c r="G57" s="3">
        <v>225</v>
      </c>
      <c r="H57" s="3"/>
      <c r="I57" s="3">
        <v>200</v>
      </c>
      <c r="J57" s="37">
        <f t="shared" si="5"/>
        <v>1920</v>
      </c>
      <c r="K57" s="37">
        <f t="shared" si="6"/>
        <v>40000</v>
      </c>
      <c r="L57" s="37"/>
      <c r="M57" s="38">
        <f t="shared" si="7"/>
        <v>20.833333333333332</v>
      </c>
      <c r="N57" s="37">
        <f t="shared" si="8"/>
        <v>108.01920000000001</v>
      </c>
      <c r="O57" s="65">
        <f t="shared" si="9"/>
        <v>5.6260000000000004E-2</v>
      </c>
    </row>
    <row r="58" spans="1:15">
      <c r="A58" s="3">
        <v>58</v>
      </c>
      <c r="B58" s="3" t="s">
        <v>0</v>
      </c>
      <c r="C58" s="3">
        <v>10</v>
      </c>
      <c r="D58" s="3">
        <v>200</v>
      </c>
      <c r="E58" s="3" t="s">
        <v>14</v>
      </c>
      <c r="F58" s="3"/>
      <c r="G58" s="41">
        <v>264.60000000000002</v>
      </c>
      <c r="H58" s="3"/>
      <c r="I58" s="3">
        <v>120</v>
      </c>
      <c r="J58" s="37">
        <f t="shared" si="5"/>
        <v>2000</v>
      </c>
      <c r="K58" s="37">
        <f t="shared" si="6"/>
        <v>24000</v>
      </c>
      <c r="L58" s="37"/>
      <c r="M58" s="38">
        <f t="shared" si="7"/>
        <v>12</v>
      </c>
      <c r="N58" s="37">
        <f t="shared" si="8"/>
        <v>64.811520000000002</v>
      </c>
      <c r="O58" s="65">
        <f t="shared" si="9"/>
        <v>3.2405759999999999E-2</v>
      </c>
    </row>
    <row r="59" spans="1:15">
      <c r="A59" s="3">
        <v>59</v>
      </c>
      <c r="B59" s="3" t="s">
        <v>0</v>
      </c>
      <c r="C59" s="3">
        <v>10</v>
      </c>
      <c r="D59" s="3">
        <v>200</v>
      </c>
      <c r="E59" s="3" t="s">
        <v>14</v>
      </c>
      <c r="F59" s="3"/>
      <c r="G59" s="3">
        <v>265</v>
      </c>
      <c r="H59" s="3"/>
      <c r="I59" s="3">
        <v>130</v>
      </c>
      <c r="J59" s="37">
        <f t="shared" si="5"/>
        <v>2000</v>
      </c>
      <c r="K59" s="37">
        <f t="shared" si="6"/>
        <v>26000</v>
      </c>
      <c r="L59" s="37"/>
      <c r="M59" s="38">
        <f t="shared" si="7"/>
        <v>13</v>
      </c>
      <c r="N59" s="37">
        <f t="shared" si="8"/>
        <v>70.212479999999999</v>
      </c>
      <c r="O59" s="65">
        <f t="shared" si="9"/>
        <v>3.5106239999999997E-2</v>
      </c>
    </row>
    <row r="60" spans="1:15">
      <c r="A60" s="3">
        <v>60</v>
      </c>
      <c r="B60" s="3" t="s">
        <v>9</v>
      </c>
      <c r="C60" s="3">
        <v>1</v>
      </c>
      <c r="D60" s="3">
        <v>100</v>
      </c>
      <c r="E60" s="3" t="s">
        <v>14</v>
      </c>
      <c r="F60" s="3"/>
      <c r="G60" s="3"/>
      <c r="H60" s="3"/>
      <c r="I60" s="3">
        <v>20</v>
      </c>
      <c r="J60" s="37">
        <f t="shared" si="5"/>
        <v>100</v>
      </c>
      <c r="K60" s="37">
        <f t="shared" si="6"/>
        <v>2000</v>
      </c>
      <c r="L60" s="37"/>
      <c r="M60" s="38">
        <f t="shared" si="7"/>
        <v>20</v>
      </c>
      <c r="N60" s="37">
        <f t="shared" si="8"/>
        <v>5.4009600000000004</v>
      </c>
      <c r="O60" s="65">
        <f>N60/J60</f>
        <v>5.4009600000000005E-2</v>
      </c>
    </row>
    <row r="61" spans="1:15">
      <c r="A61" s="3">
        <v>61</v>
      </c>
      <c r="B61" s="3" t="s">
        <v>9</v>
      </c>
      <c r="C61" s="3">
        <v>1</v>
      </c>
      <c r="D61" s="3">
        <v>100</v>
      </c>
      <c r="E61" s="3" t="s">
        <v>14</v>
      </c>
      <c r="F61" s="3"/>
      <c r="G61" s="3"/>
      <c r="H61" s="3"/>
      <c r="I61" s="3">
        <v>20</v>
      </c>
      <c r="J61" s="37">
        <f t="shared" si="5"/>
        <v>100</v>
      </c>
      <c r="K61" s="37">
        <f t="shared" si="6"/>
        <v>2000</v>
      </c>
      <c r="L61" s="37"/>
      <c r="M61" s="38">
        <f t="shared" si="7"/>
        <v>20</v>
      </c>
      <c r="N61" s="37">
        <f t="shared" si="8"/>
        <v>5.4009600000000004</v>
      </c>
      <c r="O61" s="65">
        <f t="shared" si="9"/>
        <v>5.4009600000000005E-2</v>
      </c>
    </row>
    <row r="62" spans="1:15">
      <c r="A62" s="3">
        <v>62</v>
      </c>
      <c r="B62" s="3" t="s">
        <v>9</v>
      </c>
      <c r="C62" s="3">
        <v>1</v>
      </c>
      <c r="D62" s="3">
        <v>100</v>
      </c>
      <c r="E62" s="3" t="s">
        <v>14</v>
      </c>
      <c r="F62" s="3"/>
      <c r="G62" s="3"/>
      <c r="H62" s="3"/>
      <c r="I62" s="3">
        <v>20</v>
      </c>
      <c r="J62" s="37">
        <f t="shared" si="5"/>
        <v>100</v>
      </c>
      <c r="K62" s="37">
        <f t="shared" si="6"/>
        <v>2000</v>
      </c>
      <c r="L62" s="37"/>
      <c r="M62" s="38">
        <f t="shared" si="7"/>
        <v>20</v>
      </c>
      <c r="N62" s="37">
        <f t="shared" si="8"/>
        <v>5.4009600000000004</v>
      </c>
      <c r="O62" s="65">
        <f t="shared" si="9"/>
        <v>5.4009600000000005E-2</v>
      </c>
    </row>
    <row r="63" spans="1:15">
      <c r="A63" s="3">
        <v>63</v>
      </c>
      <c r="B63" s="3" t="s">
        <v>8</v>
      </c>
      <c r="C63" s="3">
        <v>1</v>
      </c>
      <c r="D63" s="3">
        <v>100</v>
      </c>
      <c r="E63" s="3" t="s">
        <v>14</v>
      </c>
      <c r="F63" s="3"/>
      <c r="G63" s="3"/>
      <c r="H63" s="3"/>
      <c r="I63" s="3">
        <v>20</v>
      </c>
      <c r="J63" s="37">
        <f t="shared" si="5"/>
        <v>100</v>
      </c>
      <c r="K63" s="37">
        <f t="shared" si="6"/>
        <v>2000</v>
      </c>
      <c r="L63" s="37"/>
      <c r="M63" s="38">
        <f t="shared" si="7"/>
        <v>20</v>
      </c>
      <c r="N63" s="37">
        <f t="shared" si="8"/>
        <v>5.4009600000000004</v>
      </c>
      <c r="O63" s="65">
        <f t="shared" si="9"/>
        <v>5.4009600000000005E-2</v>
      </c>
    </row>
    <row r="64" spans="1:15">
      <c r="A64" s="3">
        <v>45</v>
      </c>
      <c r="B64" s="3" t="s">
        <v>10</v>
      </c>
      <c r="C64" s="3">
        <v>20</v>
      </c>
      <c r="D64" s="3">
        <v>240</v>
      </c>
      <c r="E64" s="3" t="s">
        <v>3</v>
      </c>
      <c r="F64" s="3">
        <v>900</v>
      </c>
      <c r="G64" s="3"/>
      <c r="H64" s="3"/>
      <c r="I64" s="3">
        <v>0</v>
      </c>
      <c r="J64" s="37">
        <f t="shared" si="5"/>
        <v>4800</v>
      </c>
      <c r="K64" s="37">
        <f t="shared" si="6"/>
        <v>0</v>
      </c>
      <c r="L64" s="37">
        <f>D64*F64/1000</f>
        <v>216</v>
      </c>
      <c r="M64" s="38"/>
      <c r="N64" s="29">
        <f>L64*C69</f>
        <v>172.8</v>
      </c>
      <c r="O64" s="65">
        <f>N64/J64</f>
        <v>3.6000000000000004E-2</v>
      </c>
    </row>
    <row r="65" spans="1:15">
      <c r="A65" s="3">
        <v>5</v>
      </c>
      <c r="B65" s="3" t="s">
        <v>1</v>
      </c>
      <c r="C65" s="3">
        <v>20</v>
      </c>
      <c r="D65" s="3">
        <v>200</v>
      </c>
      <c r="E65" s="3" t="s">
        <v>15</v>
      </c>
      <c r="F65" s="3"/>
      <c r="G65" s="3">
        <v>340</v>
      </c>
      <c r="H65" s="3"/>
      <c r="I65" s="3">
        <v>120</v>
      </c>
      <c r="J65" s="37">
        <f t="shared" si="5"/>
        <v>4000</v>
      </c>
      <c r="K65" s="37">
        <f t="shared" si="6"/>
        <v>24000</v>
      </c>
      <c r="L65" s="37"/>
      <c r="M65" s="38">
        <f>K65/J65</f>
        <v>6</v>
      </c>
      <c r="N65" s="37">
        <f t="shared" si="8"/>
        <v>64.811520000000002</v>
      </c>
      <c r="O65" s="65">
        <f>N65/J65</f>
        <v>1.6202879999999999E-2</v>
      </c>
    </row>
    <row r="66" spans="1:15">
      <c r="J66" s="29">
        <f>SUM(J3:J65)</f>
        <v>96886</v>
      </c>
      <c r="K66" s="29">
        <f>SUM(K3:K65)/J66</f>
        <v>16.496191400202299</v>
      </c>
      <c r="M66" s="30">
        <f>SUMIF(E3:E65,"Technology 1",M3:M65)</f>
        <v>1223.5232244607244</v>
      </c>
      <c r="N66" s="42"/>
    </row>
    <row r="67" spans="1:15">
      <c r="A67" s="22" t="s">
        <v>19</v>
      </c>
      <c r="C67" s="6">
        <v>0.84389999999999998</v>
      </c>
      <c r="D67" s="6" t="s">
        <v>20</v>
      </c>
      <c r="N67" s="18"/>
    </row>
    <row r="68" spans="1:15" ht="18.75">
      <c r="A68" s="43" t="s">
        <v>27</v>
      </c>
      <c r="C68" s="6">
        <v>3.2</v>
      </c>
      <c r="D68" s="6" t="s">
        <v>21</v>
      </c>
    </row>
    <row r="69" spans="1:15">
      <c r="A69" s="22" t="s">
        <v>26</v>
      </c>
      <c r="C69" s="6">
        <v>0.8</v>
      </c>
      <c r="D69" s="6" t="s">
        <v>22</v>
      </c>
    </row>
    <row r="70" spans="1:15">
      <c r="A70" s="16"/>
      <c r="B70" s="17"/>
      <c r="C70" s="17"/>
      <c r="D70" s="17"/>
      <c r="E70" s="17"/>
    </row>
    <row r="71" spans="1:15">
      <c r="A71" s="13"/>
      <c r="B71" s="17"/>
      <c r="C71" s="14"/>
      <c r="D71" s="15"/>
      <c r="H71" s="29"/>
      <c r="I71" s="29"/>
      <c r="K71" s="30"/>
      <c r="L71" s="6"/>
      <c r="M71" s="31"/>
      <c r="O71" s="6"/>
    </row>
    <row r="72" spans="1:15" ht="15">
      <c r="A72" s="28" t="s">
        <v>145</v>
      </c>
      <c r="B72" s="7"/>
      <c r="C72" s="8"/>
      <c r="D72" s="26"/>
      <c r="E72" s="26"/>
      <c r="I72" s="44"/>
    </row>
    <row r="73" spans="1:15" ht="42.75">
      <c r="A73" s="4"/>
      <c r="B73" s="4" t="s">
        <v>56</v>
      </c>
      <c r="C73" s="4" t="s">
        <v>144</v>
      </c>
      <c r="D73" s="4" t="s">
        <v>55</v>
      </c>
      <c r="E73" s="114" t="s">
        <v>28</v>
      </c>
      <c r="F73" s="114"/>
      <c r="G73" s="109" t="s">
        <v>24</v>
      </c>
      <c r="H73" s="110"/>
      <c r="K73" s="45"/>
      <c r="M73" s="29"/>
      <c r="N73" s="46"/>
    </row>
    <row r="74" spans="1:15" ht="28.5">
      <c r="A74" s="4"/>
      <c r="B74" s="4"/>
      <c r="C74" s="4"/>
      <c r="D74" s="4"/>
      <c r="E74" s="27" t="s">
        <v>66</v>
      </c>
      <c r="F74" s="33" t="s">
        <v>64</v>
      </c>
      <c r="G74" s="27" t="s">
        <v>66</v>
      </c>
      <c r="H74" s="33" t="s">
        <v>64</v>
      </c>
      <c r="J74" s="6"/>
      <c r="K74" s="45"/>
      <c r="M74" s="29"/>
      <c r="N74" s="46"/>
    </row>
    <row r="75" spans="1:15" ht="33.75" customHeight="1">
      <c r="A75" s="4" t="s">
        <v>73</v>
      </c>
      <c r="B75" s="9">
        <v>61</v>
      </c>
      <c r="C75" s="10">
        <f>SUMIF($E$3:E65,"Technology 1",$J$3:$J$65)</f>
        <v>88086</v>
      </c>
      <c r="D75" s="12">
        <f ca="1">C75/$C$79</f>
        <v>0.90917160374047845</v>
      </c>
      <c r="E75" s="11">
        <f>AVERAGEIF($E$3:$E$65,"Technology 1",$M$3:$M$65)</f>
        <v>20.05775777804466</v>
      </c>
      <c r="F75" s="47">
        <f>SUMIF(E3:E65,"Technology 1",K3:K65)/SUMIF(E3:E65,"Technology 1",J3:J65)</f>
        <v>17.871738982358149</v>
      </c>
      <c r="G75" s="48">
        <f>AVERAGEIF($E$3:$E$65,"Technology 1",$O$3:$O$65)</f>
        <v>5.3722872085109799E-2</v>
      </c>
      <c r="H75" s="48">
        <f>SUMIF($E$3:$E$65,"Technology 1",$N$3:$N$65)/C75</f>
        <v>4.8262273687078555E-2</v>
      </c>
      <c r="J75" s="49"/>
      <c r="M75" s="29"/>
      <c r="N75" s="46"/>
    </row>
    <row r="76" spans="1:15" ht="42.75">
      <c r="A76" s="4" t="s">
        <v>31</v>
      </c>
      <c r="B76" s="9">
        <v>1</v>
      </c>
      <c r="C76" s="10">
        <f ca="1">SUMIF($E$3:E66,"Technology 2",$J$3:$J$65)</f>
        <v>4800</v>
      </c>
      <c r="D76" s="12">
        <f ca="1">C76/$C$79</f>
        <v>4.9542761596102637E-2</v>
      </c>
      <c r="E76" s="11"/>
      <c r="F76" s="3"/>
      <c r="G76" s="48">
        <f>AVERAGEIF($E$3:$E$65,"Technology 2",$O$3:$O$65)</f>
        <v>3.6000000000000004E-2</v>
      </c>
      <c r="H76" s="48">
        <f>G76</f>
        <v>3.6000000000000004E-2</v>
      </c>
      <c r="M76" s="29"/>
      <c r="N76" s="46"/>
    </row>
    <row r="77" spans="1:15" ht="42.75">
      <c r="A77" s="4" t="s">
        <v>30</v>
      </c>
      <c r="B77" s="9">
        <v>1</v>
      </c>
      <c r="C77" s="10">
        <f ca="1">SUMIF($E$3:E67,"Technology 3",$J$3:$J$65)</f>
        <v>4000</v>
      </c>
      <c r="D77" s="12">
        <f ca="1">C77/$C$79</f>
        <v>4.1285634663418863E-2</v>
      </c>
      <c r="E77" s="11">
        <f>E84</f>
        <v>6</v>
      </c>
      <c r="F77" s="50">
        <f>F84</f>
        <v>6</v>
      </c>
      <c r="G77" s="48">
        <f>G84</f>
        <v>1.6202879999999999E-2</v>
      </c>
      <c r="H77" s="48">
        <f>H84</f>
        <v>1.6202879999999999E-2</v>
      </c>
      <c r="M77" s="29"/>
      <c r="N77" s="46"/>
    </row>
    <row r="78" spans="1:15" ht="28.5">
      <c r="A78" s="4" t="s">
        <v>29</v>
      </c>
      <c r="B78" s="9">
        <v>0</v>
      </c>
      <c r="C78" s="10">
        <f ca="1">SUMIF($E$3:E68,"Technology 4",$J$3:$J$65)</f>
        <v>0</v>
      </c>
      <c r="D78" s="12">
        <f ca="1">C78/$C$79</f>
        <v>0</v>
      </c>
      <c r="E78" s="50"/>
      <c r="F78" s="3"/>
      <c r="G78" s="48">
        <v>0</v>
      </c>
      <c r="H78" s="48">
        <f>G78</f>
        <v>0</v>
      </c>
      <c r="J78" s="6"/>
      <c r="M78" s="29"/>
      <c r="N78" s="46"/>
    </row>
    <row r="79" spans="1:15">
      <c r="A79" s="3" t="s">
        <v>25</v>
      </c>
      <c r="B79" s="9">
        <v>63</v>
      </c>
      <c r="C79" s="37">
        <f ca="1">SUM(C75:C78)</f>
        <v>96886</v>
      </c>
      <c r="D79" s="12">
        <f ca="1">C79/$C$79</f>
        <v>1</v>
      </c>
      <c r="E79" s="50">
        <v>19.831019749366522</v>
      </c>
      <c r="F79" s="3"/>
      <c r="G79" s="48"/>
      <c r="H79" s="3"/>
      <c r="M79" s="29"/>
      <c r="N79" s="46"/>
    </row>
    <row r="80" spans="1:15">
      <c r="B80" s="29"/>
      <c r="C80" s="51"/>
      <c r="H80" s="29"/>
      <c r="I80" s="29"/>
      <c r="K80" s="30"/>
      <c r="L80" s="6"/>
      <c r="M80" s="31"/>
      <c r="O80" s="6"/>
    </row>
    <row r="81" spans="1:15" ht="15">
      <c r="A81" s="28" t="s">
        <v>146</v>
      </c>
      <c r="B81" s="29"/>
    </row>
    <row r="82" spans="1:15" ht="37.5" customHeight="1">
      <c r="A82" s="113" t="s">
        <v>15</v>
      </c>
      <c r="B82" s="114" t="s">
        <v>56</v>
      </c>
      <c r="C82" s="114" t="s">
        <v>54</v>
      </c>
      <c r="D82" s="114"/>
      <c r="E82" s="114" t="s">
        <v>28</v>
      </c>
      <c r="F82" s="114"/>
      <c r="G82" s="117" t="s">
        <v>24</v>
      </c>
      <c r="H82" s="117"/>
    </row>
    <row r="83" spans="1:15" ht="42.75" customHeight="1">
      <c r="A83" s="113"/>
      <c r="B83" s="114"/>
      <c r="C83" s="114"/>
      <c r="D83" s="114"/>
      <c r="E83" s="27" t="s">
        <v>66</v>
      </c>
      <c r="F83" s="33" t="s">
        <v>64</v>
      </c>
      <c r="G83" s="27" t="s">
        <v>66</v>
      </c>
      <c r="H83" s="33" t="s">
        <v>64</v>
      </c>
    </row>
    <row r="84" spans="1:15" ht="28.5">
      <c r="A84" s="32" t="s">
        <v>71</v>
      </c>
      <c r="B84" s="3">
        <v>1</v>
      </c>
      <c r="C84" s="111">
        <f>J7</f>
        <v>100</v>
      </c>
      <c r="D84" s="112"/>
      <c r="E84" s="11">
        <f>AVERAGEIF($E$3:$E$65,"Technology 3",$M$3:$M$65)</f>
        <v>6</v>
      </c>
      <c r="F84" s="11">
        <f>AVERAGEIF($E$3:$E$65,"Technology 3",$M$3:$M$65)</f>
        <v>6</v>
      </c>
      <c r="G84" s="52">
        <f>AVERAGEIF($E$3:$E$65,"Technology 3",$O$3:$O$65)</f>
        <v>1.6202879999999999E-2</v>
      </c>
      <c r="H84" s="52">
        <f>AVERAGEIF($E$3:$E$65,"Technology 3",$O$3:$O$65)</f>
        <v>1.6202879999999999E-2</v>
      </c>
    </row>
    <row r="85" spans="1:15" ht="28.5">
      <c r="A85" s="32" t="s">
        <v>72</v>
      </c>
      <c r="B85" s="3">
        <v>25</v>
      </c>
      <c r="C85" s="111">
        <f>'Tech3, Tech4, leakage'!R28</f>
        <v>160079.5</v>
      </c>
      <c r="D85" s="112"/>
      <c r="E85" s="11">
        <f>'Tech3, Tech4, leakage'!T29</f>
        <v>7.2238940384234498</v>
      </c>
      <c r="F85" s="50">
        <f>'Tech3, Tech4, leakage'!S28/'Tech3, Tech4, leakage'!R28</f>
        <v>6.5967222536302277</v>
      </c>
      <c r="G85" s="52">
        <f>'Tech3, Tech4, leakage'!Y29</f>
        <v>1.9507981372881754E-2</v>
      </c>
      <c r="H85" s="52">
        <f>'Tech3, Tech4, leakage'!X28/'Tech3, Tech4, leakage'!R28</f>
        <v>1.7814316511483356E-2</v>
      </c>
      <c r="K85" s="53"/>
    </row>
    <row r="86" spans="1:15" ht="15">
      <c r="E86" s="20"/>
    </row>
    <row r="87" spans="1:15">
      <c r="I87" s="29"/>
      <c r="L87" s="30"/>
      <c r="M87" s="6"/>
      <c r="N87" s="31"/>
      <c r="O87" s="6"/>
    </row>
    <row r="88" spans="1:15" ht="15.75" thickBot="1">
      <c r="A88" s="28" t="s">
        <v>176</v>
      </c>
      <c r="H88" s="29"/>
      <c r="I88" s="29"/>
      <c r="K88" s="30"/>
      <c r="L88" s="6"/>
      <c r="M88" s="31"/>
      <c r="O88" s="6"/>
    </row>
    <row r="89" spans="1:15" s="26" customFormat="1" ht="57">
      <c r="B89" s="54"/>
      <c r="C89" s="54" t="s">
        <v>160</v>
      </c>
      <c r="G89" s="55"/>
      <c r="H89" s="55"/>
      <c r="I89" s="55"/>
      <c r="J89" s="56"/>
      <c r="L89" s="57"/>
    </row>
    <row r="90" spans="1:15">
      <c r="A90" s="21"/>
      <c r="B90" s="21"/>
      <c r="C90" s="21"/>
      <c r="I90" s="29"/>
      <c r="J90" s="30"/>
      <c r="K90" s="6"/>
      <c r="L90" s="31"/>
      <c r="M90" s="6"/>
      <c r="O90" s="6"/>
    </row>
    <row r="91" spans="1:15">
      <c r="A91" s="21"/>
      <c r="B91" s="21" t="s">
        <v>147</v>
      </c>
      <c r="C91" s="58">
        <v>20.05775777804466</v>
      </c>
      <c r="I91" s="29"/>
      <c r="K91" s="30"/>
      <c r="L91" s="6"/>
      <c r="M91" s="31"/>
      <c r="O91" s="6"/>
    </row>
    <row r="92" spans="1:15">
      <c r="A92" s="21"/>
      <c r="B92" s="21" t="s">
        <v>148</v>
      </c>
      <c r="C92" s="58">
        <v>0.74517584409636484</v>
      </c>
      <c r="I92" s="29"/>
      <c r="K92" s="30"/>
      <c r="L92" s="6"/>
      <c r="M92" s="31"/>
      <c r="O92" s="6"/>
    </row>
    <row r="93" spans="1:15">
      <c r="A93" s="21"/>
      <c r="B93" s="21" t="s">
        <v>149</v>
      </c>
      <c r="C93" s="58">
        <v>20</v>
      </c>
      <c r="I93" s="29"/>
      <c r="K93" s="30"/>
      <c r="L93" s="6"/>
      <c r="M93" s="31"/>
      <c r="O93" s="6"/>
    </row>
    <row r="94" spans="1:15">
      <c r="A94" s="21"/>
      <c r="B94" s="21" t="s">
        <v>150</v>
      </c>
      <c r="C94" s="58">
        <v>20</v>
      </c>
      <c r="I94" s="29"/>
      <c r="K94" s="30"/>
      <c r="L94" s="6"/>
      <c r="M94" s="31"/>
      <c r="O94" s="6"/>
    </row>
    <row r="95" spans="1:15">
      <c r="A95" s="21"/>
      <c r="B95" s="21" t="s">
        <v>151</v>
      </c>
      <c r="C95" s="58">
        <v>5.8200093948471006</v>
      </c>
      <c r="I95" s="29"/>
      <c r="K95" s="30"/>
      <c r="L95" s="6"/>
      <c r="M95" s="31"/>
      <c r="O95" s="6"/>
    </row>
    <row r="96" spans="1:15">
      <c r="A96" s="21"/>
      <c r="B96" s="21" t="s">
        <v>152</v>
      </c>
      <c r="C96" s="58">
        <v>33.872509356108516</v>
      </c>
      <c r="I96" s="29"/>
      <c r="K96" s="30"/>
      <c r="L96" s="6"/>
      <c r="M96" s="31"/>
      <c r="O96" s="6"/>
    </row>
    <row r="97" spans="1:15">
      <c r="A97" s="21"/>
      <c r="B97" s="21" t="s">
        <v>153</v>
      </c>
      <c r="C97" s="58">
        <v>-0.31734337769235177</v>
      </c>
      <c r="I97" s="29"/>
      <c r="K97" s="30"/>
      <c r="L97" s="6"/>
      <c r="M97" s="31"/>
      <c r="O97" s="6"/>
    </row>
    <row r="98" spans="1:15">
      <c r="A98" s="21"/>
      <c r="B98" s="21" t="s">
        <v>154</v>
      </c>
      <c r="C98" s="58">
        <v>-9.0716267286390817E-2</v>
      </c>
      <c r="I98" s="29"/>
      <c r="K98" s="30"/>
      <c r="L98" s="6"/>
      <c r="M98" s="31"/>
      <c r="O98" s="6"/>
    </row>
    <row r="99" spans="1:15">
      <c r="A99" s="21"/>
      <c r="B99" s="21" t="s">
        <v>155</v>
      </c>
      <c r="C99" s="58">
        <v>25.333333333333336</v>
      </c>
      <c r="I99" s="29"/>
      <c r="K99" s="30"/>
      <c r="L99" s="6"/>
      <c r="M99" s="31"/>
      <c r="O99" s="6"/>
    </row>
    <row r="100" spans="1:15">
      <c r="A100" s="21"/>
      <c r="B100" s="21" t="s">
        <v>156</v>
      </c>
      <c r="C100" s="58">
        <v>8</v>
      </c>
      <c r="I100" s="29"/>
      <c r="K100" s="30"/>
      <c r="L100" s="6"/>
      <c r="M100" s="31"/>
      <c r="O100" s="6"/>
    </row>
    <row r="101" spans="1:15">
      <c r="A101" s="21"/>
      <c r="B101" s="21" t="s">
        <v>162</v>
      </c>
      <c r="C101" s="58">
        <v>33.333333333333336</v>
      </c>
      <c r="H101" s="29"/>
      <c r="I101" s="29"/>
      <c r="K101" s="30"/>
      <c r="L101" s="6"/>
      <c r="M101" s="31"/>
      <c r="O101" s="6"/>
    </row>
    <row r="102" spans="1:15">
      <c r="A102" s="21"/>
      <c r="B102" s="21" t="s">
        <v>157</v>
      </c>
      <c r="C102" s="58">
        <v>1223.5232244607244</v>
      </c>
      <c r="H102" s="29"/>
      <c r="I102" s="29"/>
      <c r="K102" s="30"/>
      <c r="L102" s="6"/>
      <c r="M102" s="31"/>
      <c r="O102" s="6"/>
    </row>
    <row r="103" spans="1:15">
      <c r="A103" s="21"/>
      <c r="B103" s="21" t="s">
        <v>158</v>
      </c>
      <c r="C103" s="58">
        <v>61</v>
      </c>
      <c r="H103" s="29"/>
      <c r="I103" s="29"/>
      <c r="K103" s="30"/>
      <c r="L103" s="6"/>
      <c r="M103" s="31"/>
      <c r="O103" s="6"/>
    </row>
    <row r="104" spans="1:15" ht="15" thickBot="1">
      <c r="A104" s="21"/>
      <c r="B104" s="59" t="s">
        <v>159</v>
      </c>
      <c r="C104" s="60">
        <v>1.4905736047853666</v>
      </c>
      <c r="H104" s="29"/>
      <c r="I104" s="29"/>
      <c r="K104" s="30"/>
      <c r="L104" s="6"/>
      <c r="M104" s="31"/>
      <c r="O104" s="6"/>
    </row>
    <row r="105" spans="1:15">
      <c r="B105" s="21"/>
      <c r="C105" s="61"/>
      <c r="H105" s="29"/>
      <c r="I105" s="29"/>
      <c r="K105" s="30"/>
      <c r="L105" s="6"/>
      <c r="M105" s="31"/>
      <c r="O105" s="6"/>
    </row>
    <row r="106" spans="1:15" ht="15">
      <c r="A106" s="28" t="s">
        <v>177</v>
      </c>
      <c r="C106" s="29"/>
      <c r="D106" s="29"/>
      <c r="G106" s="29"/>
      <c r="H106" s="29"/>
      <c r="I106" s="29"/>
      <c r="J106" s="30"/>
      <c r="K106" s="6"/>
      <c r="L106" s="31"/>
      <c r="M106" s="6"/>
      <c r="O106" s="6"/>
    </row>
    <row r="107" spans="1:15" ht="15">
      <c r="A107" s="115" t="s">
        <v>179</v>
      </c>
      <c r="B107" s="115"/>
      <c r="C107" s="85">
        <f>C92</f>
        <v>0.74517584409636484</v>
      </c>
      <c r="D107" s="29"/>
    </row>
    <row r="108" spans="1:15" ht="15">
      <c r="A108" s="116" t="s">
        <v>178</v>
      </c>
      <c r="B108" s="116"/>
      <c r="C108" s="86">
        <f>TINV(0.05,60)</f>
        <v>2.0002978043295352</v>
      </c>
      <c r="D108" s="29"/>
    </row>
    <row r="109" spans="1:15" ht="15">
      <c r="A109" s="116" t="s">
        <v>181</v>
      </c>
      <c r="B109" s="116"/>
      <c r="C109" s="87">
        <f>C107*C108</f>
        <v>1.4905736047853666</v>
      </c>
      <c r="D109" s="29"/>
    </row>
    <row r="110" spans="1:15" ht="15">
      <c r="A110" s="116" t="s">
        <v>180</v>
      </c>
      <c r="B110" s="116"/>
      <c r="C110" s="88">
        <f>C109/C91</f>
        <v>7.4314069462786972E-2</v>
      </c>
      <c r="D110" s="29"/>
    </row>
    <row r="111" spans="1:15">
      <c r="A111" s="84"/>
      <c r="B111" s="84"/>
      <c r="C111" s="84"/>
      <c r="D111" s="29"/>
    </row>
    <row r="112" spans="1:15">
      <c r="A112" s="84"/>
      <c r="B112" s="84"/>
      <c r="C112" s="84"/>
      <c r="D112" s="29"/>
    </row>
    <row r="113" spans="4:4">
      <c r="D113" s="29"/>
    </row>
    <row r="114" spans="4:4">
      <c r="D114" s="29"/>
    </row>
    <row r="115" spans="4:4">
      <c r="D115" s="29"/>
    </row>
    <row r="116" spans="4:4">
      <c r="D116" s="29"/>
    </row>
  </sheetData>
  <autoFilter ref="A2:M69">
    <sortState ref="A3:M69">
      <sortCondition ref="B2:B69"/>
    </sortState>
  </autoFilter>
  <sortState ref="A114:B121">
    <sortCondition descending="1" ref="B114"/>
  </sortState>
  <mergeCells count="13">
    <mergeCell ref="A107:B107"/>
    <mergeCell ref="A108:B108"/>
    <mergeCell ref="A109:B109"/>
    <mergeCell ref="A110:B110"/>
    <mergeCell ref="G82:H82"/>
    <mergeCell ref="G73:H73"/>
    <mergeCell ref="C84:D84"/>
    <mergeCell ref="A82:A83"/>
    <mergeCell ref="C85:D85"/>
    <mergeCell ref="C82:D83"/>
    <mergeCell ref="B82:B83"/>
    <mergeCell ref="E73:F73"/>
    <mergeCell ref="E82:F82"/>
  </mergeCells>
  <phoneticPr fontId="6"/>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A1:Z58"/>
  <sheetViews>
    <sheetView tabSelected="1" topLeftCell="A34" workbookViewId="0">
      <selection activeCell="N6" sqref="N6"/>
    </sheetView>
  </sheetViews>
  <sheetFormatPr defaultRowHeight="14.25"/>
  <cols>
    <col min="1" max="1" width="42.5" style="6" customWidth="1"/>
    <col min="2" max="2" width="17.25" style="6" customWidth="1"/>
    <col min="3" max="23" width="10.5" style="6" customWidth="1"/>
    <col min="24" max="25" width="9" style="6"/>
    <col min="26" max="26" width="9" style="29"/>
    <col min="27" max="16384" width="9" style="6"/>
  </cols>
  <sheetData>
    <row r="1" spans="1:26" ht="15">
      <c r="A1" s="28" t="s">
        <v>57</v>
      </c>
    </row>
    <row r="2" spans="1:26" s="26" customFormat="1" ht="99.75">
      <c r="A2" s="32"/>
      <c r="B2" s="32" t="s">
        <v>47</v>
      </c>
      <c r="C2" s="32" t="s">
        <v>188</v>
      </c>
      <c r="D2" s="32" t="s">
        <v>37</v>
      </c>
      <c r="E2" s="32" t="s">
        <v>41</v>
      </c>
      <c r="F2" s="32" t="s">
        <v>48</v>
      </c>
      <c r="G2" s="32" t="s">
        <v>42</v>
      </c>
      <c r="H2" s="32" t="s">
        <v>34</v>
      </c>
      <c r="I2" s="32" t="s">
        <v>43</v>
      </c>
      <c r="J2" s="32" t="s">
        <v>44</v>
      </c>
      <c r="K2" s="32" t="s">
        <v>217</v>
      </c>
      <c r="L2" s="89" t="s">
        <v>219</v>
      </c>
      <c r="M2" s="89" t="s">
        <v>218</v>
      </c>
      <c r="N2" s="89" t="s">
        <v>190</v>
      </c>
      <c r="O2" s="89" t="s">
        <v>226</v>
      </c>
      <c r="P2" s="89" t="s">
        <v>225</v>
      </c>
      <c r="Q2" s="32" t="s">
        <v>50</v>
      </c>
      <c r="R2" s="1" t="s">
        <v>53</v>
      </c>
      <c r="S2" s="62" t="s">
        <v>49</v>
      </c>
      <c r="T2" s="63" t="s">
        <v>52</v>
      </c>
      <c r="U2" s="1" t="s">
        <v>63</v>
      </c>
      <c r="V2" s="63" t="s">
        <v>51</v>
      </c>
      <c r="W2" s="19" t="s">
        <v>39</v>
      </c>
      <c r="X2" s="32" t="s">
        <v>67</v>
      </c>
      <c r="Y2" s="32" t="s">
        <v>24</v>
      </c>
      <c r="Z2" s="62" t="s">
        <v>70</v>
      </c>
    </row>
    <row r="3" spans="1:26">
      <c r="A3" s="3">
        <v>1</v>
      </c>
      <c r="B3" s="3" t="s">
        <v>0</v>
      </c>
      <c r="C3" s="3">
        <v>8</v>
      </c>
      <c r="D3" s="3">
        <v>200</v>
      </c>
      <c r="E3" s="3"/>
      <c r="F3" s="3">
        <v>265</v>
      </c>
      <c r="G3" s="3"/>
      <c r="H3" s="3"/>
      <c r="I3" s="3">
        <v>120</v>
      </c>
      <c r="J3" s="3">
        <v>1.6</v>
      </c>
      <c r="K3" s="3">
        <f>J3*D3</f>
        <v>320</v>
      </c>
      <c r="L3" s="91">
        <f>C3/0.6*0.22</f>
        <v>2.9333333333333336</v>
      </c>
      <c r="M3" s="100">
        <f>L3*D3</f>
        <v>586.66666666666674</v>
      </c>
      <c r="N3" s="92">
        <f>L3/J3</f>
        <v>1.8333333333333335</v>
      </c>
      <c r="O3" s="92">
        <f>N3-1.25</f>
        <v>0.58333333333333348</v>
      </c>
      <c r="P3" s="100">
        <f>M3-K3*1.25</f>
        <v>186.66666666666674</v>
      </c>
      <c r="Q3" s="3">
        <v>240</v>
      </c>
      <c r="R3" s="37">
        <f t="shared" ref="R3:R24" si="0">C3*D3</f>
        <v>1600</v>
      </c>
      <c r="S3" s="37">
        <f t="shared" ref="S3:S27" si="1">D3*I3</f>
        <v>24000</v>
      </c>
      <c r="T3" s="38">
        <f t="shared" ref="T3:T27" si="2">S3/R3</f>
        <v>15</v>
      </c>
      <c r="U3" s="37">
        <f t="shared" ref="U3:U27" si="3">Q3*D3</f>
        <v>48000</v>
      </c>
      <c r="V3" s="38">
        <f t="shared" ref="V3:V27" si="4">U3/R3</f>
        <v>30</v>
      </c>
      <c r="W3" s="64">
        <f t="shared" ref="W3:W26" si="5">1-S3/U3</f>
        <v>0.5</v>
      </c>
      <c r="X3" s="37">
        <f>S3*Sample!$C$67*Sample!$C$68/1000</f>
        <v>64.811520000000002</v>
      </c>
      <c r="Y3" s="65">
        <f>X3/R3</f>
        <v>4.05072E-2</v>
      </c>
      <c r="Z3" s="37">
        <f>R3*W3</f>
        <v>800</v>
      </c>
    </row>
    <row r="4" spans="1:26">
      <c r="A4" s="3">
        <v>2</v>
      </c>
      <c r="B4" s="3" t="s">
        <v>0</v>
      </c>
      <c r="C4" s="3">
        <v>60</v>
      </c>
      <c r="D4" s="3">
        <v>200</v>
      </c>
      <c r="E4" s="3">
        <v>700</v>
      </c>
      <c r="F4" s="3">
        <v>900</v>
      </c>
      <c r="G4" s="3">
        <v>700</v>
      </c>
      <c r="H4" s="3"/>
      <c r="I4" s="3">
        <v>200</v>
      </c>
      <c r="J4" s="3">
        <v>4.5</v>
      </c>
      <c r="K4" s="3">
        <f t="shared" ref="K4:K26" si="6">J4*D4</f>
        <v>900</v>
      </c>
      <c r="L4" s="91">
        <f t="shared" ref="L4:L26" si="7">C4/0.6*0.22</f>
        <v>22</v>
      </c>
      <c r="M4" s="100">
        <f t="shared" ref="M4:M26" si="8">L4*D4</f>
        <v>4400</v>
      </c>
      <c r="N4" s="92">
        <f t="shared" ref="N4:N26" si="9">L4/J4</f>
        <v>4.8888888888888893</v>
      </c>
      <c r="O4" s="92">
        <f t="shared" ref="O4:O26" si="10">N4-1.25</f>
        <v>3.6388888888888893</v>
      </c>
      <c r="P4" s="100">
        <f t="shared" ref="P4:P26" si="11">M4-K4*1.25</f>
        <v>3275</v>
      </c>
      <c r="Q4" s="3">
        <v>700</v>
      </c>
      <c r="R4" s="37">
        <f t="shared" si="0"/>
        <v>12000</v>
      </c>
      <c r="S4" s="37">
        <f t="shared" si="1"/>
        <v>40000</v>
      </c>
      <c r="T4" s="38">
        <f t="shared" si="2"/>
        <v>3.3333333333333335</v>
      </c>
      <c r="U4" s="37">
        <f t="shared" si="3"/>
        <v>140000</v>
      </c>
      <c r="V4" s="38">
        <f t="shared" si="4"/>
        <v>11.666666666666666</v>
      </c>
      <c r="W4" s="64">
        <f t="shared" si="5"/>
        <v>0.7142857142857143</v>
      </c>
      <c r="X4" s="37">
        <f>S4*Sample!$C$67*Sample!$C$68/1000</f>
        <v>108.01920000000001</v>
      </c>
      <c r="Y4" s="65">
        <f t="shared" ref="Y4:Y27" si="12">X4/R4</f>
        <v>9.0016000000000002E-3</v>
      </c>
      <c r="Z4" s="37">
        <f t="shared" ref="Z4:Z27" si="13">R4*W4</f>
        <v>8571.4285714285725</v>
      </c>
    </row>
    <row r="5" spans="1:26">
      <c r="A5" s="3">
        <v>3</v>
      </c>
      <c r="B5" s="3" t="s">
        <v>0</v>
      </c>
      <c r="C5" s="3">
        <v>24</v>
      </c>
      <c r="D5" s="3">
        <v>250</v>
      </c>
      <c r="E5" s="3"/>
      <c r="F5" s="3">
        <v>340</v>
      </c>
      <c r="G5" s="3">
        <v>120</v>
      </c>
      <c r="H5" s="3"/>
      <c r="I5" s="3">
        <v>80</v>
      </c>
      <c r="J5" s="3">
        <v>2.5</v>
      </c>
      <c r="K5" s="3">
        <f t="shared" si="6"/>
        <v>625</v>
      </c>
      <c r="L5" s="91">
        <f t="shared" si="7"/>
        <v>8.8000000000000007</v>
      </c>
      <c r="M5" s="100">
        <f t="shared" si="8"/>
        <v>2200</v>
      </c>
      <c r="N5" s="92">
        <f t="shared" si="9"/>
        <v>3.5200000000000005</v>
      </c>
      <c r="O5" s="92">
        <f t="shared" si="10"/>
        <v>2.2700000000000005</v>
      </c>
      <c r="P5" s="100">
        <f t="shared" si="11"/>
        <v>1418.75</v>
      </c>
      <c r="Q5" s="3">
        <v>250</v>
      </c>
      <c r="R5" s="37">
        <f t="shared" si="0"/>
        <v>6000</v>
      </c>
      <c r="S5" s="37">
        <f t="shared" si="1"/>
        <v>20000</v>
      </c>
      <c r="T5" s="38">
        <f t="shared" si="2"/>
        <v>3.3333333333333335</v>
      </c>
      <c r="U5" s="37">
        <f t="shared" si="3"/>
        <v>62500</v>
      </c>
      <c r="V5" s="38">
        <f t="shared" si="4"/>
        <v>10.416666666666666</v>
      </c>
      <c r="W5" s="64">
        <f t="shared" si="5"/>
        <v>0.67999999999999994</v>
      </c>
      <c r="X5" s="37">
        <f>S5*Sample!$C$67*Sample!$C$68/1000</f>
        <v>54.009600000000006</v>
      </c>
      <c r="Y5" s="65">
        <f t="shared" si="12"/>
        <v>9.0016000000000002E-3</v>
      </c>
      <c r="Z5" s="37">
        <f t="shared" si="13"/>
        <v>4079.9999999999995</v>
      </c>
    </row>
    <row r="6" spans="1:26">
      <c r="A6" s="3">
        <v>4</v>
      </c>
      <c r="B6" s="3" t="s">
        <v>1</v>
      </c>
      <c r="C6" s="3">
        <v>17</v>
      </c>
      <c r="D6" s="3">
        <v>250</v>
      </c>
      <c r="E6" s="3">
        <v>75</v>
      </c>
      <c r="F6" s="3">
        <v>300</v>
      </c>
      <c r="G6" s="3">
        <v>75</v>
      </c>
      <c r="H6" s="3">
        <v>200</v>
      </c>
      <c r="I6" s="3">
        <v>150</v>
      </c>
      <c r="J6" s="3">
        <v>2</v>
      </c>
      <c r="K6" s="3">
        <f t="shared" si="6"/>
        <v>500</v>
      </c>
      <c r="L6" s="91">
        <f t="shared" si="7"/>
        <v>6.2333333333333343</v>
      </c>
      <c r="M6" s="100">
        <f t="shared" si="8"/>
        <v>1558.3333333333335</v>
      </c>
      <c r="N6" s="92">
        <f t="shared" si="9"/>
        <v>3.1166666666666671</v>
      </c>
      <c r="O6" s="92">
        <f t="shared" si="10"/>
        <v>1.8666666666666671</v>
      </c>
      <c r="P6" s="100">
        <f t="shared" si="11"/>
        <v>933.33333333333348</v>
      </c>
      <c r="Q6" s="3">
        <v>300</v>
      </c>
      <c r="R6" s="37">
        <f t="shared" si="0"/>
        <v>4250</v>
      </c>
      <c r="S6" s="37">
        <f t="shared" si="1"/>
        <v>37500</v>
      </c>
      <c r="T6" s="38">
        <f t="shared" si="2"/>
        <v>8.8235294117647065</v>
      </c>
      <c r="U6" s="37">
        <f t="shared" si="3"/>
        <v>75000</v>
      </c>
      <c r="V6" s="38">
        <f t="shared" si="4"/>
        <v>17.647058823529413</v>
      </c>
      <c r="W6" s="64">
        <f t="shared" si="5"/>
        <v>0.5</v>
      </c>
      <c r="X6" s="37">
        <f>S6*Sample!$C$67*Sample!$C$68/1000</f>
        <v>101.268</v>
      </c>
      <c r="Y6" s="65">
        <f t="shared" si="12"/>
        <v>2.3827764705882354E-2</v>
      </c>
      <c r="Z6" s="37">
        <f t="shared" si="13"/>
        <v>2125</v>
      </c>
    </row>
    <row r="7" spans="1:26">
      <c r="A7" s="3">
        <v>5</v>
      </c>
      <c r="B7" s="3" t="s">
        <v>1</v>
      </c>
      <c r="C7" s="3">
        <v>15</v>
      </c>
      <c r="D7" s="3">
        <v>250</v>
      </c>
      <c r="E7" s="3">
        <v>70</v>
      </c>
      <c r="F7" s="3">
        <v>225</v>
      </c>
      <c r="G7" s="3">
        <v>70</v>
      </c>
      <c r="H7" s="3">
        <v>150</v>
      </c>
      <c r="I7" s="3">
        <v>200</v>
      </c>
      <c r="J7" s="3">
        <v>2.5</v>
      </c>
      <c r="K7" s="3">
        <f t="shared" si="6"/>
        <v>625</v>
      </c>
      <c r="L7" s="91">
        <f t="shared" si="7"/>
        <v>5.5</v>
      </c>
      <c r="M7" s="100">
        <f t="shared" si="8"/>
        <v>1375</v>
      </c>
      <c r="N7" s="92">
        <f t="shared" si="9"/>
        <v>2.2000000000000002</v>
      </c>
      <c r="O7" s="92">
        <f t="shared" si="10"/>
        <v>0.95000000000000018</v>
      </c>
      <c r="P7" s="100">
        <f t="shared" si="11"/>
        <v>593.75</v>
      </c>
      <c r="Q7" s="3">
        <v>550</v>
      </c>
      <c r="R7" s="37">
        <f t="shared" si="0"/>
        <v>3750</v>
      </c>
      <c r="S7" s="37">
        <f t="shared" si="1"/>
        <v>50000</v>
      </c>
      <c r="T7" s="38">
        <f t="shared" si="2"/>
        <v>13.333333333333334</v>
      </c>
      <c r="U7" s="37">
        <f t="shared" si="3"/>
        <v>137500</v>
      </c>
      <c r="V7" s="38">
        <f t="shared" si="4"/>
        <v>36.666666666666664</v>
      </c>
      <c r="W7" s="64">
        <f t="shared" si="5"/>
        <v>0.63636363636363635</v>
      </c>
      <c r="X7" s="37">
        <f>S7*Sample!$C$67*Sample!$C$68/1000</f>
        <v>135.024</v>
      </c>
      <c r="Y7" s="65">
        <f t="shared" si="12"/>
        <v>3.6006400000000001E-2</v>
      </c>
      <c r="Z7" s="37">
        <f t="shared" si="13"/>
        <v>2386.3636363636365</v>
      </c>
    </row>
    <row r="8" spans="1:26">
      <c r="A8" s="3">
        <v>6</v>
      </c>
      <c r="B8" s="3" t="s">
        <v>1</v>
      </c>
      <c r="C8" s="3">
        <v>8</v>
      </c>
      <c r="D8" s="3">
        <v>250</v>
      </c>
      <c r="E8" s="3"/>
      <c r="F8" s="3">
        <v>225</v>
      </c>
      <c r="G8" s="3">
        <v>150</v>
      </c>
      <c r="H8" s="3">
        <v>200</v>
      </c>
      <c r="I8" s="3">
        <v>70</v>
      </c>
      <c r="J8" s="3">
        <v>2.5</v>
      </c>
      <c r="K8" s="3">
        <f t="shared" si="6"/>
        <v>625</v>
      </c>
      <c r="L8" s="91">
        <f t="shared" si="7"/>
        <v>2.9333333333333336</v>
      </c>
      <c r="M8" s="100">
        <f t="shared" si="8"/>
        <v>733.33333333333337</v>
      </c>
      <c r="N8" s="119">
        <f t="shared" si="9"/>
        <v>1.1733333333333333</v>
      </c>
      <c r="O8" s="119">
        <f t="shared" si="10"/>
        <v>-7.6666666666666661E-2</v>
      </c>
      <c r="P8" s="120">
        <f t="shared" si="11"/>
        <v>-47.916666666666629</v>
      </c>
      <c r="Q8" s="3">
        <v>220</v>
      </c>
      <c r="R8" s="37">
        <f t="shared" si="0"/>
        <v>2000</v>
      </c>
      <c r="S8" s="37">
        <f t="shared" si="1"/>
        <v>17500</v>
      </c>
      <c r="T8" s="38">
        <f t="shared" si="2"/>
        <v>8.75</v>
      </c>
      <c r="U8" s="37">
        <f t="shared" si="3"/>
        <v>55000</v>
      </c>
      <c r="V8" s="38">
        <f t="shared" si="4"/>
        <v>27.5</v>
      </c>
      <c r="W8" s="64">
        <f t="shared" si="5"/>
        <v>0.68181818181818188</v>
      </c>
      <c r="X8" s="37">
        <f>S8*Sample!$C$67*Sample!$C$68/1000</f>
        <v>47.258400000000002</v>
      </c>
      <c r="Y8" s="65">
        <f t="shared" si="12"/>
        <v>2.36292E-2</v>
      </c>
      <c r="Z8" s="37">
        <f t="shared" si="13"/>
        <v>1363.6363636363637</v>
      </c>
    </row>
    <row r="9" spans="1:26">
      <c r="A9" s="3">
        <v>7</v>
      </c>
      <c r="B9" s="3" t="s">
        <v>1</v>
      </c>
      <c r="C9" s="3">
        <v>16</v>
      </c>
      <c r="D9" s="3">
        <v>200</v>
      </c>
      <c r="E9" s="3">
        <v>50</v>
      </c>
      <c r="F9" s="3">
        <v>340</v>
      </c>
      <c r="G9" s="3">
        <v>50</v>
      </c>
      <c r="H9" s="3">
        <v>200</v>
      </c>
      <c r="I9" s="3">
        <v>56</v>
      </c>
      <c r="J9" s="3">
        <v>2.5</v>
      </c>
      <c r="K9" s="3">
        <f t="shared" si="6"/>
        <v>500</v>
      </c>
      <c r="L9" s="91">
        <f t="shared" si="7"/>
        <v>5.8666666666666671</v>
      </c>
      <c r="M9" s="100">
        <f t="shared" si="8"/>
        <v>1173.3333333333335</v>
      </c>
      <c r="N9" s="92">
        <f t="shared" si="9"/>
        <v>2.3466666666666667</v>
      </c>
      <c r="O9" s="92">
        <f t="shared" si="10"/>
        <v>1.0966666666666667</v>
      </c>
      <c r="P9" s="100">
        <f t="shared" si="11"/>
        <v>548.33333333333348</v>
      </c>
      <c r="Q9" s="3">
        <v>215</v>
      </c>
      <c r="R9" s="37">
        <f t="shared" si="0"/>
        <v>3200</v>
      </c>
      <c r="S9" s="37">
        <f t="shared" si="1"/>
        <v>11200</v>
      </c>
      <c r="T9" s="38">
        <f t="shared" si="2"/>
        <v>3.5</v>
      </c>
      <c r="U9" s="37">
        <f t="shared" si="3"/>
        <v>43000</v>
      </c>
      <c r="V9" s="38">
        <f t="shared" si="4"/>
        <v>13.4375</v>
      </c>
      <c r="W9" s="64">
        <f t="shared" si="5"/>
        <v>0.73953488372093024</v>
      </c>
      <c r="X9" s="37">
        <f>S9*Sample!$C$67*Sample!$C$68/1000</f>
        <v>30.245376000000004</v>
      </c>
      <c r="Y9" s="65">
        <f t="shared" si="12"/>
        <v>9.4516800000000005E-3</v>
      </c>
      <c r="Z9" s="37">
        <f t="shared" si="13"/>
        <v>2366.5116279069766</v>
      </c>
    </row>
    <row r="10" spans="1:26">
      <c r="A10" s="3">
        <v>8</v>
      </c>
      <c r="B10" s="3" t="s">
        <v>32</v>
      </c>
      <c r="C10" s="3">
        <v>27</v>
      </c>
      <c r="D10" s="3">
        <v>198</v>
      </c>
      <c r="E10" s="3">
        <v>500</v>
      </c>
      <c r="F10" s="3">
        <v>900</v>
      </c>
      <c r="G10" s="3">
        <v>500</v>
      </c>
      <c r="H10" s="3">
        <v>600</v>
      </c>
      <c r="I10" s="3">
        <v>250</v>
      </c>
      <c r="J10" s="3">
        <v>5.5</v>
      </c>
      <c r="K10" s="3">
        <f t="shared" si="6"/>
        <v>1089</v>
      </c>
      <c r="L10" s="91">
        <f t="shared" si="7"/>
        <v>9.9</v>
      </c>
      <c r="M10" s="100">
        <f t="shared" si="8"/>
        <v>1960.2</v>
      </c>
      <c r="N10" s="92">
        <f t="shared" si="9"/>
        <v>1.8</v>
      </c>
      <c r="O10" s="92">
        <f t="shared" si="10"/>
        <v>0.55000000000000004</v>
      </c>
      <c r="P10" s="100">
        <f t="shared" si="11"/>
        <v>598.95000000000005</v>
      </c>
      <c r="Q10" s="3">
        <v>550</v>
      </c>
      <c r="R10" s="37">
        <f t="shared" si="0"/>
        <v>5346</v>
      </c>
      <c r="S10" s="37">
        <f t="shared" si="1"/>
        <v>49500</v>
      </c>
      <c r="T10" s="38">
        <f t="shared" si="2"/>
        <v>9.2592592592592595</v>
      </c>
      <c r="U10" s="37">
        <f t="shared" si="3"/>
        <v>108900</v>
      </c>
      <c r="V10" s="38">
        <f t="shared" si="4"/>
        <v>20.37037037037037</v>
      </c>
      <c r="W10" s="64">
        <f t="shared" si="5"/>
        <v>0.54545454545454541</v>
      </c>
      <c r="X10" s="37">
        <f>S10*Sample!$C$67*Sample!$C$68/1000</f>
        <v>133.67375999999999</v>
      </c>
      <c r="Y10" s="65">
        <f t="shared" si="12"/>
        <v>2.5004444444444444E-2</v>
      </c>
      <c r="Z10" s="37">
        <f t="shared" si="13"/>
        <v>2916</v>
      </c>
    </row>
    <row r="11" spans="1:26">
      <c r="A11" s="3">
        <v>9</v>
      </c>
      <c r="B11" s="3" t="s">
        <v>32</v>
      </c>
      <c r="C11" s="3">
        <v>15</v>
      </c>
      <c r="D11" s="3">
        <v>200</v>
      </c>
      <c r="E11" s="3">
        <v>100</v>
      </c>
      <c r="F11" s="3">
        <v>340</v>
      </c>
      <c r="G11" s="3"/>
      <c r="H11" s="3">
        <v>200</v>
      </c>
      <c r="I11" s="3">
        <v>150</v>
      </c>
      <c r="J11" s="3">
        <v>2.5</v>
      </c>
      <c r="K11" s="3">
        <f t="shared" si="6"/>
        <v>500</v>
      </c>
      <c r="L11" s="91">
        <f t="shared" si="7"/>
        <v>5.5</v>
      </c>
      <c r="M11" s="100">
        <f t="shared" si="8"/>
        <v>1100</v>
      </c>
      <c r="N11" s="92">
        <f t="shared" si="9"/>
        <v>2.2000000000000002</v>
      </c>
      <c r="O11" s="92">
        <f t="shared" si="10"/>
        <v>0.95000000000000018</v>
      </c>
      <c r="P11" s="100">
        <f t="shared" si="11"/>
        <v>475</v>
      </c>
      <c r="Q11" s="3">
        <v>450</v>
      </c>
      <c r="R11" s="37">
        <f t="shared" si="0"/>
        <v>3000</v>
      </c>
      <c r="S11" s="37">
        <f t="shared" si="1"/>
        <v>30000</v>
      </c>
      <c r="T11" s="38">
        <f t="shared" si="2"/>
        <v>10</v>
      </c>
      <c r="U11" s="37">
        <f t="shared" si="3"/>
        <v>90000</v>
      </c>
      <c r="V11" s="38">
        <f t="shared" si="4"/>
        <v>30</v>
      </c>
      <c r="W11" s="64">
        <f t="shared" si="5"/>
        <v>0.66666666666666674</v>
      </c>
      <c r="X11" s="37">
        <f>S11*Sample!$C$67*Sample!$C$68/1000</f>
        <v>81.014400000000009</v>
      </c>
      <c r="Y11" s="65">
        <f t="shared" si="12"/>
        <v>2.7004800000000002E-2</v>
      </c>
      <c r="Z11" s="37">
        <f t="shared" si="13"/>
        <v>2000.0000000000002</v>
      </c>
    </row>
    <row r="12" spans="1:26">
      <c r="A12" s="3">
        <v>10</v>
      </c>
      <c r="B12" s="3" t="s">
        <v>32</v>
      </c>
      <c r="C12" s="3">
        <v>33</v>
      </c>
      <c r="D12" s="3">
        <v>200</v>
      </c>
      <c r="E12" s="3">
        <v>3000</v>
      </c>
      <c r="F12" s="3">
        <v>700</v>
      </c>
      <c r="G12" s="3"/>
      <c r="H12" s="3"/>
      <c r="I12" s="3">
        <v>150</v>
      </c>
      <c r="J12" s="3">
        <v>6</v>
      </c>
      <c r="K12" s="3">
        <f t="shared" si="6"/>
        <v>1200</v>
      </c>
      <c r="L12" s="91">
        <f t="shared" si="7"/>
        <v>12.1</v>
      </c>
      <c r="M12" s="100">
        <f t="shared" si="8"/>
        <v>2420</v>
      </c>
      <c r="N12" s="92">
        <f t="shared" si="9"/>
        <v>2.0166666666666666</v>
      </c>
      <c r="O12" s="92">
        <f t="shared" si="10"/>
        <v>0.76666666666666661</v>
      </c>
      <c r="P12" s="100">
        <f t="shared" si="11"/>
        <v>920</v>
      </c>
      <c r="Q12" s="3">
        <v>500</v>
      </c>
      <c r="R12" s="37">
        <f t="shared" si="0"/>
        <v>6600</v>
      </c>
      <c r="S12" s="37">
        <f t="shared" si="1"/>
        <v>30000</v>
      </c>
      <c r="T12" s="38">
        <f t="shared" si="2"/>
        <v>4.5454545454545459</v>
      </c>
      <c r="U12" s="37">
        <f t="shared" si="3"/>
        <v>100000</v>
      </c>
      <c r="V12" s="38">
        <f t="shared" si="4"/>
        <v>15.151515151515152</v>
      </c>
      <c r="W12" s="64">
        <f t="shared" si="5"/>
        <v>0.7</v>
      </c>
      <c r="X12" s="37">
        <f>S12*Sample!$C$67*Sample!$C$68/1000</f>
        <v>81.014400000000009</v>
      </c>
      <c r="Y12" s="65">
        <f t="shared" si="12"/>
        <v>1.2274909090909092E-2</v>
      </c>
      <c r="Z12" s="37">
        <f t="shared" si="13"/>
        <v>4620</v>
      </c>
    </row>
    <row r="13" spans="1:26">
      <c r="A13" s="3">
        <v>11</v>
      </c>
      <c r="B13" s="3" t="s">
        <v>32</v>
      </c>
      <c r="C13" s="3">
        <v>30</v>
      </c>
      <c r="D13" s="3">
        <v>200</v>
      </c>
      <c r="E13" s="3">
        <v>600</v>
      </c>
      <c r="F13" s="3">
        <v>700</v>
      </c>
      <c r="G13" s="3"/>
      <c r="H13" s="3">
        <v>250</v>
      </c>
      <c r="I13" s="3">
        <v>240</v>
      </c>
      <c r="J13" s="3">
        <v>7.5</v>
      </c>
      <c r="K13" s="3">
        <f t="shared" si="6"/>
        <v>1500</v>
      </c>
      <c r="L13" s="91">
        <f t="shared" si="7"/>
        <v>11</v>
      </c>
      <c r="M13" s="100">
        <f t="shared" si="8"/>
        <v>2200</v>
      </c>
      <c r="N13" s="92">
        <f t="shared" si="9"/>
        <v>1.4666666666666666</v>
      </c>
      <c r="O13" s="92">
        <f t="shared" si="10"/>
        <v>0.21666666666666656</v>
      </c>
      <c r="P13" s="100">
        <f t="shared" si="11"/>
        <v>325</v>
      </c>
      <c r="Q13" s="3">
        <v>600</v>
      </c>
      <c r="R13" s="37">
        <f t="shared" si="0"/>
        <v>6000</v>
      </c>
      <c r="S13" s="37">
        <f t="shared" si="1"/>
        <v>48000</v>
      </c>
      <c r="T13" s="38">
        <f t="shared" si="2"/>
        <v>8</v>
      </c>
      <c r="U13" s="37">
        <f t="shared" si="3"/>
        <v>120000</v>
      </c>
      <c r="V13" s="38">
        <f t="shared" si="4"/>
        <v>20</v>
      </c>
      <c r="W13" s="64">
        <f t="shared" si="5"/>
        <v>0.6</v>
      </c>
      <c r="X13" s="37">
        <f>S13*Sample!$C$67*Sample!$C$68/1000</f>
        <v>129.62304</v>
      </c>
      <c r="Y13" s="65">
        <f t="shared" si="12"/>
        <v>2.1603839999999999E-2</v>
      </c>
      <c r="Z13" s="37">
        <f t="shared" si="13"/>
        <v>3600</v>
      </c>
    </row>
    <row r="14" spans="1:26">
      <c r="A14" s="3">
        <v>12</v>
      </c>
      <c r="B14" s="3" t="s">
        <v>1</v>
      </c>
      <c r="C14" s="3">
        <v>20</v>
      </c>
      <c r="D14" s="3">
        <v>200</v>
      </c>
      <c r="E14" s="3"/>
      <c r="F14" s="3">
        <v>340</v>
      </c>
      <c r="G14" s="3"/>
      <c r="H14" s="3"/>
      <c r="I14" s="3">
        <v>120</v>
      </c>
      <c r="J14" s="3">
        <v>3</v>
      </c>
      <c r="K14" s="3">
        <f t="shared" si="6"/>
        <v>600</v>
      </c>
      <c r="L14" s="91">
        <f t="shared" si="7"/>
        <v>7.3333333333333339</v>
      </c>
      <c r="M14" s="100">
        <f t="shared" si="8"/>
        <v>1466.6666666666667</v>
      </c>
      <c r="N14" s="92">
        <f t="shared" si="9"/>
        <v>2.4444444444444446</v>
      </c>
      <c r="O14" s="92">
        <f t="shared" si="10"/>
        <v>1.1944444444444446</v>
      </c>
      <c r="P14" s="100">
        <f t="shared" si="11"/>
        <v>716.66666666666674</v>
      </c>
      <c r="Q14" s="3">
        <v>360</v>
      </c>
      <c r="R14" s="37">
        <f t="shared" si="0"/>
        <v>4000</v>
      </c>
      <c r="S14" s="37">
        <f t="shared" si="1"/>
        <v>24000</v>
      </c>
      <c r="T14" s="38">
        <f t="shared" si="2"/>
        <v>6</v>
      </c>
      <c r="U14" s="37">
        <f t="shared" si="3"/>
        <v>72000</v>
      </c>
      <c r="V14" s="38">
        <f t="shared" si="4"/>
        <v>18</v>
      </c>
      <c r="W14" s="64">
        <f t="shared" si="5"/>
        <v>0.66666666666666674</v>
      </c>
      <c r="X14" s="37">
        <f>S14*Sample!$C$67*Sample!$C$68/1000</f>
        <v>64.811520000000002</v>
      </c>
      <c r="Y14" s="65">
        <f t="shared" si="12"/>
        <v>1.6202879999999999E-2</v>
      </c>
      <c r="Z14" s="37">
        <f t="shared" si="13"/>
        <v>2666.666666666667</v>
      </c>
    </row>
    <row r="15" spans="1:26">
      <c r="A15" s="3">
        <v>13</v>
      </c>
      <c r="B15" s="3" t="s">
        <v>32</v>
      </c>
      <c r="C15" s="3">
        <v>15</v>
      </c>
      <c r="D15" s="3">
        <v>200</v>
      </c>
      <c r="E15" s="3">
        <v>100</v>
      </c>
      <c r="F15" s="3">
        <v>225</v>
      </c>
      <c r="G15" s="3"/>
      <c r="H15" s="3"/>
      <c r="I15" s="3">
        <v>90</v>
      </c>
      <c r="J15" s="3">
        <v>1</v>
      </c>
      <c r="K15" s="3">
        <f t="shared" si="6"/>
        <v>200</v>
      </c>
      <c r="L15" s="91">
        <f t="shared" si="7"/>
        <v>5.5</v>
      </c>
      <c r="M15" s="100">
        <f t="shared" si="8"/>
        <v>1100</v>
      </c>
      <c r="N15" s="92">
        <f t="shared" si="9"/>
        <v>5.5</v>
      </c>
      <c r="O15" s="92">
        <f t="shared" si="10"/>
        <v>4.25</v>
      </c>
      <c r="P15" s="100">
        <f t="shared" si="11"/>
        <v>850</v>
      </c>
      <c r="Q15" s="3">
        <v>380</v>
      </c>
      <c r="R15" s="37">
        <f t="shared" si="0"/>
        <v>3000</v>
      </c>
      <c r="S15" s="37">
        <f t="shared" si="1"/>
        <v>18000</v>
      </c>
      <c r="T15" s="38">
        <f t="shared" si="2"/>
        <v>6</v>
      </c>
      <c r="U15" s="37">
        <f t="shared" si="3"/>
        <v>76000</v>
      </c>
      <c r="V15" s="38">
        <f t="shared" si="4"/>
        <v>25.333333333333332</v>
      </c>
      <c r="W15" s="64">
        <f t="shared" si="5"/>
        <v>0.76315789473684215</v>
      </c>
      <c r="X15" s="37">
        <f>S15*Sample!$C$67*Sample!$C$68/1000</f>
        <v>48.608640000000001</v>
      </c>
      <c r="Y15" s="65">
        <f t="shared" si="12"/>
        <v>1.6202879999999999E-2</v>
      </c>
      <c r="Z15" s="37">
        <f t="shared" si="13"/>
        <v>2289.4736842105262</v>
      </c>
    </row>
    <row r="16" spans="1:26">
      <c r="A16" s="3">
        <v>14</v>
      </c>
      <c r="B16" s="3" t="s">
        <v>2</v>
      </c>
      <c r="C16" s="3">
        <v>36</v>
      </c>
      <c r="D16" s="3">
        <v>300</v>
      </c>
      <c r="E16" s="3"/>
      <c r="F16" s="3"/>
      <c r="G16" s="3"/>
      <c r="H16" s="3"/>
      <c r="I16" s="3">
        <v>180</v>
      </c>
      <c r="J16" s="3">
        <v>10</v>
      </c>
      <c r="K16" s="3">
        <f t="shared" si="6"/>
        <v>3000</v>
      </c>
      <c r="L16" s="91">
        <f t="shared" si="7"/>
        <v>13.2</v>
      </c>
      <c r="M16" s="100">
        <f t="shared" si="8"/>
        <v>3960</v>
      </c>
      <c r="N16" s="92">
        <f t="shared" si="9"/>
        <v>1.3199999999999998</v>
      </c>
      <c r="O16" s="92">
        <f t="shared" si="10"/>
        <v>6.999999999999984E-2</v>
      </c>
      <c r="P16" s="100">
        <f t="shared" si="11"/>
        <v>210</v>
      </c>
      <c r="Q16" s="3">
        <v>600</v>
      </c>
      <c r="R16" s="37">
        <f t="shared" si="0"/>
        <v>10800</v>
      </c>
      <c r="S16" s="37">
        <f t="shared" si="1"/>
        <v>54000</v>
      </c>
      <c r="T16" s="38">
        <f t="shared" si="2"/>
        <v>5</v>
      </c>
      <c r="U16" s="37">
        <f t="shared" si="3"/>
        <v>180000</v>
      </c>
      <c r="V16" s="38">
        <f t="shared" si="4"/>
        <v>16.666666666666668</v>
      </c>
      <c r="W16" s="64">
        <f t="shared" si="5"/>
        <v>0.7</v>
      </c>
      <c r="X16" s="37">
        <f>S16*Sample!$C$67*Sample!$C$68/1000</f>
        <v>145.82592000000002</v>
      </c>
      <c r="Y16" s="65">
        <f t="shared" si="12"/>
        <v>1.3502400000000003E-2</v>
      </c>
      <c r="Z16" s="37">
        <f t="shared" si="13"/>
        <v>7559.9999999999991</v>
      </c>
    </row>
    <row r="17" spans="1:26">
      <c r="A17" s="3">
        <v>15</v>
      </c>
      <c r="B17" s="3" t="s">
        <v>2</v>
      </c>
      <c r="C17" s="3">
        <v>15</v>
      </c>
      <c r="D17" s="3">
        <v>270</v>
      </c>
      <c r="E17" s="3"/>
      <c r="F17" s="3"/>
      <c r="G17" s="3"/>
      <c r="H17" s="3"/>
      <c r="I17" s="3">
        <v>150</v>
      </c>
      <c r="J17" s="3">
        <v>2.5</v>
      </c>
      <c r="K17" s="3">
        <f t="shared" si="6"/>
        <v>675</v>
      </c>
      <c r="L17" s="91">
        <f t="shared" si="7"/>
        <v>5.5</v>
      </c>
      <c r="M17" s="100">
        <f t="shared" si="8"/>
        <v>1485</v>
      </c>
      <c r="N17" s="92">
        <f t="shared" si="9"/>
        <v>2.2000000000000002</v>
      </c>
      <c r="O17" s="92">
        <f t="shared" si="10"/>
        <v>0.95000000000000018</v>
      </c>
      <c r="P17" s="100">
        <f t="shared" si="11"/>
        <v>641.25</v>
      </c>
      <c r="Q17" s="3">
        <v>350</v>
      </c>
      <c r="R17" s="37">
        <f t="shared" si="0"/>
        <v>4050</v>
      </c>
      <c r="S17" s="37">
        <f t="shared" si="1"/>
        <v>40500</v>
      </c>
      <c r="T17" s="38">
        <f t="shared" si="2"/>
        <v>10</v>
      </c>
      <c r="U17" s="37">
        <f t="shared" si="3"/>
        <v>94500</v>
      </c>
      <c r="V17" s="38">
        <f t="shared" si="4"/>
        <v>23.333333333333332</v>
      </c>
      <c r="W17" s="64">
        <f t="shared" si="5"/>
        <v>0.5714285714285714</v>
      </c>
      <c r="X17" s="37">
        <f>S17*Sample!$C$67*Sample!$C$68/1000</f>
        <v>109.36944</v>
      </c>
      <c r="Y17" s="65">
        <f t="shared" si="12"/>
        <v>2.7004799999999999E-2</v>
      </c>
      <c r="Z17" s="37">
        <f t="shared" si="13"/>
        <v>2314.2857142857142</v>
      </c>
    </row>
    <row r="18" spans="1:26">
      <c r="A18" s="3">
        <v>16</v>
      </c>
      <c r="B18" s="3" t="s">
        <v>2</v>
      </c>
      <c r="C18" s="3">
        <v>60</v>
      </c>
      <c r="D18" s="3">
        <v>200</v>
      </c>
      <c r="E18" s="3">
        <v>700</v>
      </c>
      <c r="F18" s="3">
        <v>900</v>
      </c>
      <c r="G18" s="3">
        <v>700</v>
      </c>
      <c r="H18" s="3"/>
      <c r="I18" s="3">
        <v>200</v>
      </c>
      <c r="J18" s="3">
        <v>4.5</v>
      </c>
      <c r="K18" s="3">
        <f t="shared" si="6"/>
        <v>900</v>
      </c>
      <c r="L18" s="91">
        <f t="shared" si="7"/>
        <v>22</v>
      </c>
      <c r="M18" s="100">
        <f t="shared" si="8"/>
        <v>4400</v>
      </c>
      <c r="N18" s="92">
        <f t="shared" si="9"/>
        <v>4.8888888888888893</v>
      </c>
      <c r="O18" s="92">
        <f t="shared" si="10"/>
        <v>3.6388888888888893</v>
      </c>
      <c r="P18" s="100">
        <f t="shared" si="11"/>
        <v>3275</v>
      </c>
      <c r="Q18" s="3">
        <v>700</v>
      </c>
      <c r="R18" s="37">
        <f t="shared" si="0"/>
        <v>12000</v>
      </c>
      <c r="S18" s="37">
        <f t="shared" si="1"/>
        <v>40000</v>
      </c>
      <c r="T18" s="38">
        <f t="shared" si="2"/>
        <v>3.3333333333333335</v>
      </c>
      <c r="U18" s="37">
        <f t="shared" si="3"/>
        <v>140000</v>
      </c>
      <c r="V18" s="38">
        <f t="shared" si="4"/>
        <v>11.666666666666666</v>
      </c>
      <c r="W18" s="64">
        <f t="shared" si="5"/>
        <v>0.7142857142857143</v>
      </c>
      <c r="X18" s="37">
        <f>S18*Sample!$C$67*Sample!$C$68/1000</f>
        <v>108.01920000000001</v>
      </c>
      <c r="Y18" s="65">
        <f t="shared" si="12"/>
        <v>9.0016000000000002E-3</v>
      </c>
      <c r="Z18" s="37">
        <f t="shared" si="13"/>
        <v>8571.4285714285725</v>
      </c>
    </row>
    <row r="19" spans="1:26">
      <c r="A19" s="3">
        <v>17</v>
      </c>
      <c r="B19" s="3" t="s">
        <v>12</v>
      </c>
      <c r="C19" s="3">
        <v>27</v>
      </c>
      <c r="D19" s="3">
        <v>198</v>
      </c>
      <c r="E19" s="3">
        <v>500</v>
      </c>
      <c r="F19" s="3">
        <v>900</v>
      </c>
      <c r="G19" s="3">
        <v>500</v>
      </c>
      <c r="H19" s="3"/>
      <c r="I19" s="3">
        <v>250</v>
      </c>
      <c r="J19" s="3">
        <v>5.5</v>
      </c>
      <c r="K19" s="3">
        <f t="shared" si="6"/>
        <v>1089</v>
      </c>
      <c r="L19" s="91">
        <f t="shared" si="7"/>
        <v>9.9</v>
      </c>
      <c r="M19" s="100">
        <f t="shared" si="8"/>
        <v>1960.2</v>
      </c>
      <c r="N19" s="92">
        <f t="shared" si="9"/>
        <v>1.8</v>
      </c>
      <c r="O19" s="92">
        <f t="shared" si="10"/>
        <v>0.55000000000000004</v>
      </c>
      <c r="P19" s="100">
        <f t="shared" si="11"/>
        <v>598.95000000000005</v>
      </c>
      <c r="Q19" s="3">
        <v>550</v>
      </c>
      <c r="R19" s="37">
        <f t="shared" si="0"/>
        <v>5346</v>
      </c>
      <c r="S19" s="37">
        <f t="shared" si="1"/>
        <v>49500</v>
      </c>
      <c r="T19" s="38">
        <f t="shared" si="2"/>
        <v>9.2592592592592595</v>
      </c>
      <c r="U19" s="37">
        <f t="shared" si="3"/>
        <v>108900</v>
      </c>
      <c r="V19" s="38">
        <f t="shared" si="4"/>
        <v>20.37037037037037</v>
      </c>
      <c r="W19" s="64">
        <f t="shared" si="5"/>
        <v>0.54545454545454541</v>
      </c>
      <c r="X19" s="37">
        <f>S19*Sample!$C$67*Sample!$C$68/1000</f>
        <v>133.67375999999999</v>
      </c>
      <c r="Y19" s="65">
        <f t="shared" si="12"/>
        <v>2.5004444444444444E-2</v>
      </c>
      <c r="Z19" s="37">
        <f t="shared" si="13"/>
        <v>2916</v>
      </c>
    </row>
    <row r="20" spans="1:26">
      <c r="A20" s="3">
        <v>18</v>
      </c>
      <c r="B20" s="3" t="s">
        <v>12</v>
      </c>
      <c r="C20" s="3">
        <v>30</v>
      </c>
      <c r="D20" s="3">
        <v>200</v>
      </c>
      <c r="E20" s="3">
        <v>600</v>
      </c>
      <c r="F20" s="3">
        <v>700</v>
      </c>
      <c r="G20" s="3"/>
      <c r="H20" s="3"/>
      <c r="I20" s="3">
        <v>240</v>
      </c>
      <c r="J20" s="3">
        <v>7.5</v>
      </c>
      <c r="K20" s="3">
        <f t="shared" si="6"/>
        <v>1500</v>
      </c>
      <c r="L20" s="91">
        <f t="shared" si="7"/>
        <v>11</v>
      </c>
      <c r="M20" s="100">
        <f t="shared" si="8"/>
        <v>2200</v>
      </c>
      <c r="N20" s="92">
        <f t="shared" si="9"/>
        <v>1.4666666666666666</v>
      </c>
      <c r="O20" s="92">
        <f t="shared" si="10"/>
        <v>0.21666666666666656</v>
      </c>
      <c r="P20" s="100">
        <f t="shared" si="11"/>
        <v>325</v>
      </c>
      <c r="Q20" s="3">
        <v>600</v>
      </c>
      <c r="R20" s="37">
        <f t="shared" si="0"/>
        <v>6000</v>
      </c>
      <c r="S20" s="37">
        <f t="shared" si="1"/>
        <v>48000</v>
      </c>
      <c r="T20" s="38">
        <f t="shared" si="2"/>
        <v>8</v>
      </c>
      <c r="U20" s="37">
        <f t="shared" si="3"/>
        <v>120000</v>
      </c>
      <c r="V20" s="38">
        <f t="shared" si="4"/>
        <v>20</v>
      </c>
      <c r="W20" s="64">
        <f t="shared" si="5"/>
        <v>0.6</v>
      </c>
      <c r="X20" s="37">
        <f>S20*Sample!$C$67*Sample!$C$68/1000</f>
        <v>129.62304</v>
      </c>
      <c r="Y20" s="65">
        <f t="shared" si="12"/>
        <v>2.1603839999999999E-2</v>
      </c>
      <c r="Z20" s="37">
        <f t="shared" si="13"/>
        <v>3600</v>
      </c>
    </row>
    <row r="21" spans="1:26">
      <c r="A21" s="3">
        <v>19</v>
      </c>
      <c r="B21" s="3" t="s">
        <v>12</v>
      </c>
      <c r="C21" s="3">
        <v>30</v>
      </c>
      <c r="D21" s="3">
        <v>300</v>
      </c>
      <c r="E21" s="3"/>
      <c r="F21" s="3"/>
      <c r="G21" s="3"/>
      <c r="H21" s="3"/>
      <c r="I21" s="3">
        <v>210</v>
      </c>
      <c r="J21" s="3">
        <v>5</v>
      </c>
      <c r="K21" s="3">
        <f t="shared" si="6"/>
        <v>1500</v>
      </c>
      <c r="L21" s="91">
        <f t="shared" si="7"/>
        <v>11</v>
      </c>
      <c r="M21" s="100">
        <f t="shared" si="8"/>
        <v>3300</v>
      </c>
      <c r="N21" s="92">
        <f t="shared" si="9"/>
        <v>2.2000000000000002</v>
      </c>
      <c r="O21" s="92">
        <f t="shared" si="10"/>
        <v>0.95000000000000018</v>
      </c>
      <c r="P21" s="100">
        <f t="shared" si="11"/>
        <v>1425</v>
      </c>
      <c r="Q21" s="3">
        <v>550</v>
      </c>
      <c r="R21" s="37">
        <f t="shared" si="0"/>
        <v>9000</v>
      </c>
      <c r="S21" s="37">
        <f t="shared" si="1"/>
        <v>63000</v>
      </c>
      <c r="T21" s="38">
        <f t="shared" si="2"/>
        <v>7</v>
      </c>
      <c r="U21" s="37">
        <f t="shared" si="3"/>
        <v>165000</v>
      </c>
      <c r="V21" s="38">
        <f t="shared" si="4"/>
        <v>18.333333333333332</v>
      </c>
      <c r="W21" s="64">
        <f t="shared" si="5"/>
        <v>0.61818181818181817</v>
      </c>
      <c r="X21" s="37">
        <f>S21*Sample!$C$67*Sample!$C$68/1000</f>
        <v>170.13023999999999</v>
      </c>
      <c r="Y21" s="65">
        <f t="shared" si="12"/>
        <v>1.8903359999999998E-2</v>
      </c>
      <c r="Z21" s="37">
        <f t="shared" si="13"/>
        <v>5563.6363636363631</v>
      </c>
    </row>
    <row r="22" spans="1:26">
      <c r="A22" s="3">
        <v>20</v>
      </c>
      <c r="B22" s="3" t="s">
        <v>12</v>
      </c>
      <c r="C22" s="3">
        <v>18</v>
      </c>
      <c r="D22" s="3">
        <v>300</v>
      </c>
      <c r="E22" s="3"/>
      <c r="F22" s="3"/>
      <c r="G22" s="3"/>
      <c r="H22" s="3">
        <v>250</v>
      </c>
      <c r="I22" s="3">
        <v>90</v>
      </c>
      <c r="J22" s="3">
        <v>2.6</v>
      </c>
      <c r="K22" s="3">
        <f t="shared" si="6"/>
        <v>780</v>
      </c>
      <c r="L22" s="91">
        <f t="shared" si="7"/>
        <v>6.6</v>
      </c>
      <c r="M22" s="100">
        <f t="shared" si="8"/>
        <v>1980</v>
      </c>
      <c r="N22" s="92">
        <f t="shared" si="9"/>
        <v>2.5384615384615383</v>
      </c>
      <c r="O22" s="92">
        <f t="shared" si="10"/>
        <v>1.2884615384615383</v>
      </c>
      <c r="P22" s="100">
        <f t="shared" si="11"/>
        <v>1005</v>
      </c>
      <c r="Q22" s="3">
        <v>390</v>
      </c>
      <c r="R22" s="37">
        <f t="shared" si="0"/>
        <v>5400</v>
      </c>
      <c r="S22" s="37">
        <f t="shared" si="1"/>
        <v>27000</v>
      </c>
      <c r="T22" s="38">
        <f t="shared" si="2"/>
        <v>5</v>
      </c>
      <c r="U22" s="37">
        <f t="shared" si="3"/>
        <v>117000</v>
      </c>
      <c r="V22" s="38">
        <f t="shared" si="4"/>
        <v>21.666666666666668</v>
      </c>
      <c r="W22" s="64">
        <f t="shared" si="5"/>
        <v>0.76923076923076916</v>
      </c>
      <c r="X22" s="37">
        <f>S22*Sample!$C$67*Sample!$C$68/1000</f>
        <v>72.912960000000012</v>
      </c>
      <c r="Y22" s="65">
        <f t="shared" si="12"/>
        <v>1.3502400000000003E-2</v>
      </c>
      <c r="Z22" s="37">
        <f t="shared" si="13"/>
        <v>4153.8461538461534</v>
      </c>
    </row>
    <row r="23" spans="1:26">
      <c r="A23" s="3">
        <v>21</v>
      </c>
      <c r="B23" s="3" t="s">
        <v>7</v>
      </c>
      <c r="C23" s="3">
        <v>80</v>
      </c>
      <c r="D23" s="3">
        <v>300</v>
      </c>
      <c r="E23" s="3">
        <v>1400</v>
      </c>
      <c r="F23" s="3"/>
      <c r="G23" s="3"/>
      <c r="H23" s="3"/>
      <c r="I23" s="3">
        <v>600</v>
      </c>
      <c r="J23" s="3">
        <v>10</v>
      </c>
      <c r="K23" s="3">
        <f t="shared" si="6"/>
        <v>3000</v>
      </c>
      <c r="L23" s="91">
        <f t="shared" si="7"/>
        <v>29.333333333333336</v>
      </c>
      <c r="M23" s="100">
        <f t="shared" si="8"/>
        <v>8800</v>
      </c>
      <c r="N23" s="92">
        <f t="shared" si="9"/>
        <v>2.9333333333333336</v>
      </c>
      <c r="O23" s="92">
        <f t="shared" si="10"/>
        <v>1.6833333333333336</v>
      </c>
      <c r="P23" s="100">
        <f t="shared" si="11"/>
        <v>5050</v>
      </c>
      <c r="Q23" s="3">
        <v>1500</v>
      </c>
      <c r="R23" s="37">
        <f t="shared" si="0"/>
        <v>24000</v>
      </c>
      <c r="S23" s="37">
        <f t="shared" si="1"/>
        <v>180000</v>
      </c>
      <c r="T23" s="38">
        <f t="shared" si="2"/>
        <v>7.5</v>
      </c>
      <c r="U23" s="37">
        <f t="shared" si="3"/>
        <v>450000</v>
      </c>
      <c r="V23" s="38">
        <f t="shared" si="4"/>
        <v>18.75</v>
      </c>
      <c r="W23" s="64">
        <f t="shared" si="5"/>
        <v>0.6</v>
      </c>
      <c r="X23" s="37">
        <f>S23*Sample!$C$67*Sample!$C$68/1000</f>
        <v>486.08640000000003</v>
      </c>
      <c r="Y23" s="65">
        <f t="shared" si="12"/>
        <v>2.02536E-2</v>
      </c>
      <c r="Z23" s="37">
        <f t="shared" si="13"/>
        <v>14400</v>
      </c>
    </row>
    <row r="24" spans="1:26">
      <c r="A24" s="3">
        <v>22</v>
      </c>
      <c r="B24" s="3" t="s">
        <v>10</v>
      </c>
      <c r="C24" s="3">
        <v>30</v>
      </c>
      <c r="D24" s="3">
        <v>200</v>
      </c>
      <c r="E24" s="3">
        <v>600</v>
      </c>
      <c r="F24" s="3">
        <v>700</v>
      </c>
      <c r="G24" s="3"/>
      <c r="H24" s="3">
        <v>200</v>
      </c>
      <c r="I24" s="3">
        <v>240</v>
      </c>
      <c r="J24" s="3">
        <v>7.5</v>
      </c>
      <c r="K24" s="3">
        <f t="shared" si="6"/>
        <v>1500</v>
      </c>
      <c r="L24" s="91">
        <f t="shared" si="7"/>
        <v>11</v>
      </c>
      <c r="M24" s="100">
        <f t="shared" si="8"/>
        <v>2200</v>
      </c>
      <c r="N24" s="92">
        <f t="shared" si="9"/>
        <v>1.4666666666666666</v>
      </c>
      <c r="O24" s="92">
        <f t="shared" si="10"/>
        <v>0.21666666666666656</v>
      </c>
      <c r="P24" s="100">
        <f t="shared" si="11"/>
        <v>325</v>
      </c>
      <c r="Q24" s="3">
        <v>600</v>
      </c>
      <c r="R24" s="37">
        <f t="shared" si="0"/>
        <v>6000</v>
      </c>
      <c r="S24" s="37">
        <f t="shared" si="1"/>
        <v>48000</v>
      </c>
      <c r="T24" s="38">
        <f t="shared" si="2"/>
        <v>8</v>
      </c>
      <c r="U24" s="37">
        <f t="shared" si="3"/>
        <v>120000</v>
      </c>
      <c r="V24" s="38">
        <f t="shared" si="4"/>
        <v>20</v>
      </c>
      <c r="W24" s="64">
        <f t="shared" si="5"/>
        <v>0.6</v>
      </c>
      <c r="X24" s="37">
        <f>S24*Sample!$C$67*Sample!$C$68/1000</f>
        <v>129.62304</v>
      </c>
      <c r="Y24" s="65">
        <f t="shared" si="12"/>
        <v>2.1603839999999999E-2</v>
      </c>
      <c r="Z24" s="37">
        <f t="shared" si="13"/>
        <v>3600</v>
      </c>
    </row>
    <row r="25" spans="1:26">
      <c r="A25" s="3">
        <v>23</v>
      </c>
      <c r="B25" s="3" t="s">
        <v>12</v>
      </c>
      <c r="C25" s="66" t="s">
        <v>33</v>
      </c>
      <c r="D25" s="3">
        <v>325</v>
      </c>
      <c r="E25" s="3"/>
      <c r="F25" s="66" t="s">
        <v>45</v>
      </c>
      <c r="G25" s="66"/>
      <c r="H25" s="66" t="s">
        <v>36</v>
      </c>
      <c r="I25" s="3">
        <v>204</v>
      </c>
      <c r="J25" s="3">
        <v>1.6875</v>
      </c>
      <c r="K25" s="3">
        <f t="shared" si="6"/>
        <v>548.4375</v>
      </c>
      <c r="L25" s="91">
        <f>27.5/0.6*0.22</f>
        <v>10.083333333333334</v>
      </c>
      <c r="M25" s="100">
        <f t="shared" si="8"/>
        <v>3277.0833333333335</v>
      </c>
      <c r="N25" s="92">
        <f t="shared" si="9"/>
        <v>5.9753086419753094</v>
      </c>
      <c r="O25" s="92">
        <f t="shared" si="10"/>
        <v>4.7253086419753094</v>
      </c>
      <c r="P25" s="100">
        <f t="shared" si="11"/>
        <v>2591.5364583333335</v>
      </c>
      <c r="Q25" s="3">
        <v>708</v>
      </c>
      <c r="R25" s="37">
        <f>27.5*D25</f>
        <v>8937.5</v>
      </c>
      <c r="S25" s="37">
        <f t="shared" si="1"/>
        <v>66300</v>
      </c>
      <c r="T25" s="38">
        <f t="shared" si="2"/>
        <v>7.418181818181818</v>
      </c>
      <c r="U25" s="37">
        <f t="shared" si="3"/>
        <v>230100</v>
      </c>
      <c r="V25" s="38">
        <f t="shared" si="4"/>
        <v>25.745454545454546</v>
      </c>
      <c r="W25" s="64">
        <f t="shared" si="5"/>
        <v>0.71186440677966101</v>
      </c>
      <c r="X25" s="37">
        <f>S25*Sample!$C$67*Sample!$C$68/1000</f>
        <v>179.04182400000002</v>
      </c>
      <c r="Y25" s="65">
        <f t="shared" si="12"/>
        <v>2.0032651636363637E-2</v>
      </c>
      <c r="Z25" s="37">
        <f t="shared" si="13"/>
        <v>6362.2881355932204</v>
      </c>
    </row>
    <row r="26" spans="1:26">
      <c r="A26" s="3">
        <v>24</v>
      </c>
      <c r="B26" s="3" t="s">
        <v>12</v>
      </c>
      <c r="C26" s="3">
        <v>12</v>
      </c>
      <c r="D26" s="3">
        <v>250</v>
      </c>
      <c r="E26" s="3"/>
      <c r="F26" s="3">
        <v>150</v>
      </c>
      <c r="G26" s="3">
        <v>150</v>
      </c>
      <c r="H26" s="3"/>
      <c r="I26" s="3">
        <v>60</v>
      </c>
      <c r="J26" s="3">
        <v>2</v>
      </c>
      <c r="K26" s="3">
        <f t="shared" si="6"/>
        <v>500</v>
      </c>
      <c r="L26" s="91">
        <f t="shared" si="7"/>
        <v>4.4000000000000004</v>
      </c>
      <c r="M26" s="100">
        <f t="shared" si="8"/>
        <v>1100</v>
      </c>
      <c r="N26" s="92">
        <f t="shared" si="9"/>
        <v>2.2000000000000002</v>
      </c>
      <c r="O26" s="92">
        <f t="shared" si="10"/>
        <v>0.95000000000000018</v>
      </c>
      <c r="P26" s="100">
        <f t="shared" si="11"/>
        <v>475</v>
      </c>
      <c r="Q26" s="3">
        <v>300</v>
      </c>
      <c r="R26" s="37">
        <f>C26*D26</f>
        <v>3000</v>
      </c>
      <c r="S26" s="37">
        <f t="shared" si="1"/>
        <v>15000</v>
      </c>
      <c r="T26" s="38">
        <f t="shared" si="2"/>
        <v>5</v>
      </c>
      <c r="U26" s="37">
        <f t="shared" si="3"/>
        <v>75000</v>
      </c>
      <c r="V26" s="38">
        <f t="shared" si="4"/>
        <v>25</v>
      </c>
      <c r="W26" s="64">
        <f t="shared" si="5"/>
        <v>0.8</v>
      </c>
      <c r="X26" s="37">
        <f>S26*Sample!$C$67*Sample!$C$68/1000</f>
        <v>40.507200000000005</v>
      </c>
      <c r="Y26" s="65">
        <f t="shared" si="12"/>
        <v>1.3502400000000001E-2</v>
      </c>
      <c r="Z26" s="37">
        <f t="shared" si="13"/>
        <v>2400</v>
      </c>
    </row>
    <row r="27" spans="1:26" ht="28.5">
      <c r="A27" s="3">
        <v>25</v>
      </c>
      <c r="B27" s="3" t="s">
        <v>35</v>
      </c>
      <c r="C27" s="3">
        <v>19.2</v>
      </c>
      <c r="D27" s="3">
        <v>250</v>
      </c>
      <c r="E27" s="3"/>
      <c r="F27" s="32" t="s">
        <v>38</v>
      </c>
      <c r="G27" s="3">
        <v>150</v>
      </c>
      <c r="H27" s="3"/>
      <c r="I27" s="3">
        <v>100</v>
      </c>
      <c r="J27" s="3" t="s">
        <v>220</v>
      </c>
      <c r="K27" s="3" t="s">
        <v>221</v>
      </c>
      <c r="L27" s="91" t="s">
        <v>203</v>
      </c>
      <c r="M27" s="100" t="s">
        <v>221</v>
      </c>
      <c r="N27" s="92"/>
      <c r="O27" s="92"/>
      <c r="P27" s="92"/>
      <c r="Q27" s="3">
        <v>288</v>
      </c>
      <c r="R27" s="37">
        <f>C27*D27</f>
        <v>4800</v>
      </c>
      <c r="S27" s="37">
        <f t="shared" si="1"/>
        <v>25000</v>
      </c>
      <c r="T27" s="38">
        <f t="shared" si="2"/>
        <v>5.208333333333333</v>
      </c>
      <c r="U27" s="37">
        <f t="shared" si="3"/>
        <v>72000</v>
      </c>
      <c r="V27" s="38">
        <f t="shared" si="4"/>
        <v>15</v>
      </c>
      <c r="W27" s="64">
        <f>1-S27/U27</f>
        <v>0.65277777777777779</v>
      </c>
      <c r="X27" s="37">
        <f>S27*Sample!$C$67*Sample!$C$68/1000</f>
        <v>67.512</v>
      </c>
      <c r="Y27" s="65">
        <f t="shared" si="12"/>
        <v>1.4064999999999999E-2</v>
      </c>
      <c r="Z27" s="37">
        <f t="shared" si="13"/>
        <v>3133.3333333333335</v>
      </c>
    </row>
    <row r="28" spans="1:26">
      <c r="A28" s="3"/>
      <c r="B28" s="3" t="s">
        <v>65</v>
      </c>
      <c r="C28" s="3">
        <f>SUM(C3:C24,C26)+27.5</f>
        <v>653.5</v>
      </c>
      <c r="D28" s="3"/>
      <c r="E28" s="3"/>
      <c r="F28" s="32"/>
      <c r="G28" s="3"/>
      <c r="H28" s="3"/>
      <c r="I28" s="3"/>
      <c r="J28" s="50">
        <f>SUM(J3:J27)</f>
        <v>102.38749999999999</v>
      </c>
      <c r="K28" s="50"/>
      <c r="L28" s="103">
        <f>SUM(L3:L27)</f>
        <v>239.6166666666667</v>
      </c>
      <c r="M28" s="103"/>
      <c r="N28" s="92">
        <f>L28/J28</f>
        <v>2.3402921906157172</v>
      </c>
      <c r="O28" s="96"/>
      <c r="P28" s="100">
        <f>SUM(P3:P27)</f>
        <v>26715.269791666662</v>
      </c>
      <c r="Q28" s="3"/>
      <c r="R28" s="37">
        <f>SUM(R3:R27)</f>
        <v>160079.5</v>
      </c>
      <c r="S28" s="37">
        <f>SUM(S3:S27)</f>
        <v>1056000</v>
      </c>
      <c r="T28" s="37">
        <f>SUM(T3:T27)</f>
        <v>180.59735096058625</v>
      </c>
      <c r="U28" s="37">
        <f>SUM(U3:U27)</f>
        <v>3000400</v>
      </c>
      <c r="V28" s="37">
        <f>SUM(V3:V27)</f>
        <v>512.72226926123994</v>
      </c>
      <c r="W28" s="64"/>
      <c r="X28" s="67">
        <f>SUM(X3:X27)</f>
        <v>2851.7068799999997</v>
      </c>
      <c r="Y28" s="3"/>
      <c r="Z28" s="37"/>
    </row>
    <row r="29" spans="1:26">
      <c r="A29" s="3"/>
      <c r="B29" s="3" t="s">
        <v>46</v>
      </c>
      <c r="C29" s="3"/>
      <c r="D29" s="3"/>
      <c r="E29" s="3"/>
      <c r="F29" s="3"/>
      <c r="G29" s="3"/>
      <c r="H29" s="3"/>
      <c r="I29" s="3"/>
      <c r="J29" s="3"/>
      <c r="K29" s="3"/>
      <c r="L29" s="90"/>
      <c r="M29" s="90"/>
      <c r="N29" s="96">
        <f>AVERAGE(N3:N26)</f>
        <v>2.6456663501107949</v>
      </c>
      <c r="O29" s="96"/>
      <c r="P29" s="96"/>
      <c r="Q29" s="3"/>
      <c r="R29" s="68"/>
      <c r="S29" s="3"/>
      <c r="T29" s="68">
        <f>AVERAGE(T3:T27)</f>
        <v>7.2238940384234498</v>
      </c>
      <c r="U29" s="3"/>
      <c r="V29" s="68">
        <f>AVERAGE(V3:V27)</f>
        <v>20.508890770449597</v>
      </c>
      <c r="W29" s="64">
        <f>AVERAGE(W3:W27)</f>
        <v>0.65108687171408164</v>
      </c>
      <c r="X29" s="3"/>
      <c r="Y29" s="69">
        <f>AVERAGE(Y3:Y28)</f>
        <v>1.9507981372881754E-2</v>
      </c>
      <c r="Z29" s="37"/>
    </row>
    <row r="30" spans="1:26">
      <c r="A30" s="3"/>
      <c r="B30" s="3" t="s">
        <v>69</v>
      </c>
      <c r="C30" s="3"/>
      <c r="D30" s="3"/>
      <c r="E30" s="3"/>
      <c r="F30" s="3"/>
      <c r="G30" s="3"/>
      <c r="H30" s="3"/>
      <c r="I30" s="3"/>
      <c r="J30" s="3"/>
      <c r="K30" s="3"/>
      <c r="L30" s="90"/>
      <c r="M30" s="90"/>
      <c r="N30" s="90"/>
      <c r="O30" s="90"/>
      <c r="P30" s="90"/>
      <c r="Q30" s="3"/>
      <c r="R30" s="68"/>
      <c r="S30" s="3"/>
      <c r="T30" s="68">
        <f>S28/R28</f>
        <v>6.5967222536302277</v>
      </c>
      <c r="U30" s="3"/>
      <c r="V30" s="68"/>
      <c r="W30" s="70">
        <f>SUM(Z3:Z27)/R28</f>
        <v>0.65192544218551463</v>
      </c>
      <c r="X30" s="3"/>
      <c r="Y30" s="69"/>
      <c r="Z30" s="3"/>
    </row>
    <row r="31" spans="1:26">
      <c r="A31" s="6" t="s">
        <v>62</v>
      </c>
    </row>
    <row r="32" spans="1:26">
      <c r="A32" s="93" t="s">
        <v>189</v>
      </c>
      <c r="Q32" s="45">
        <f>1/24</f>
        <v>4.1666666666666664E-2</v>
      </c>
      <c r="R32" s="45">
        <f>R8/R28</f>
        <v>1.2493792147026946E-2</v>
      </c>
    </row>
    <row r="34" spans="1:13" ht="15">
      <c r="A34" s="94" t="s">
        <v>194</v>
      </c>
      <c r="B34" s="93"/>
    </row>
    <row r="35" spans="1:13">
      <c r="A35" s="95" t="s">
        <v>183</v>
      </c>
      <c r="B35" s="96">
        <v>1</v>
      </c>
    </row>
    <row r="36" spans="1:13">
      <c r="A36" s="95" t="s">
        <v>184</v>
      </c>
      <c r="B36" s="96">
        <v>0.6</v>
      </c>
      <c r="L36" s="99"/>
      <c r="M36" s="99"/>
    </row>
    <row r="37" spans="1:13">
      <c r="A37" s="95" t="s">
        <v>185</v>
      </c>
      <c r="B37" s="96">
        <v>0.22</v>
      </c>
    </row>
    <row r="38" spans="1:13">
      <c r="A38" s="95" t="s">
        <v>186</v>
      </c>
      <c r="B38" s="97">
        <v>7.8E-2</v>
      </c>
    </row>
    <row r="39" spans="1:13">
      <c r="A39" s="98" t="s">
        <v>187</v>
      </c>
      <c r="B39" s="98"/>
    </row>
    <row r="42" spans="1:13" ht="15">
      <c r="A42" s="101" t="s">
        <v>195</v>
      </c>
      <c r="B42" s="98"/>
      <c r="C42" s="98"/>
    </row>
    <row r="43" spans="1:13" ht="57">
      <c r="A43" s="89" t="s">
        <v>192</v>
      </c>
      <c r="B43" s="89" t="s">
        <v>193</v>
      </c>
      <c r="C43" s="89" t="s">
        <v>191</v>
      </c>
    </row>
    <row r="44" spans="1:13">
      <c r="A44" s="100">
        <v>47520</v>
      </c>
      <c r="B44" s="100">
        <v>33422</v>
      </c>
      <c r="C44" s="92">
        <f>A44/B44</f>
        <v>1.4218179642151876</v>
      </c>
      <c r="D44" s="6" t="s">
        <v>199</v>
      </c>
    </row>
    <row r="45" spans="1:13">
      <c r="A45" s="98" t="s">
        <v>200</v>
      </c>
      <c r="B45" s="98"/>
      <c r="C45" s="98"/>
    </row>
    <row r="48" spans="1:13" ht="15">
      <c r="A48" s="101" t="s">
        <v>215</v>
      </c>
      <c r="B48" s="98"/>
      <c r="C48" s="98"/>
      <c r="D48" s="98" t="s">
        <v>212</v>
      </c>
    </row>
    <row r="49" spans="1:5">
      <c r="A49" s="90" t="s">
        <v>201</v>
      </c>
      <c r="B49" s="104">
        <v>176520</v>
      </c>
      <c r="C49" s="90"/>
      <c r="D49" s="98" t="s">
        <v>213</v>
      </c>
      <c r="E49" s="102" t="s">
        <v>196</v>
      </c>
    </row>
    <row r="50" spans="1:5">
      <c r="A50" s="90" t="s">
        <v>202</v>
      </c>
      <c r="B50" s="100">
        <f>50*50*3.14</f>
        <v>7850</v>
      </c>
      <c r="C50" s="90"/>
      <c r="D50" s="98"/>
    </row>
    <row r="51" spans="1:5">
      <c r="A51" s="90" t="s">
        <v>198</v>
      </c>
      <c r="B51" s="105">
        <f>B49/B50</f>
        <v>22.486624203821655</v>
      </c>
      <c r="C51" s="106" t="s">
        <v>204</v>
      </c>
      <c r="D51" s="98"/>
    </row>
    <row r="52" spans="1:5">
      <c r="A52" s="90" t="s">
        <v>223</v>
      </c>
      <c r="B52" s="100">
        <v>27407</v>
      </c>
      <c r="C52" s="100">
        <v>22397</v>
      </c>
      <c r="D52" s="98"/>
    </row>
    <row r="53" spans="1:5">
      <c r="A53" s="89" t="s">
        <v>197</v>
      </c>
      <c r="B53" s="107">
        <f>B52/B51</f>
        <v>1218.8134489009744</v>
      </c>
      <c r="C53" s="107">
        <f>C52/B51</f>
        <v>996.01433265352375</v>
      </c>
      <c r="D53" s="98"/>
    </row>
    <row r="54" spans="1:5">
      <c r="A54" s="90" t="s">
        <v>216</v>
      </c>
      <c r="B54" s="100">
        <v>5619000</v>
      </c>
      <c r="C54" s="106" t="s">
        <v>207</v>
      </c>
      <c r="D54" s="98" t="s">
        <v>214</v>
      </c>
    </row>
    <row r="55" spans="1:5">
      <c r="A55" s="90" t="s">
        <v>224</v>
      </c>
      <c r="B55" s="100">
        <f>B54/0.6*0.22</f>
        <v>2060300</v>
      </c>
      <c r="C55" s="106" t="s">
        <v>205</v>
      </c>
      <c r="D55" s="98"/>
    </row>
    <row r="56" spans="1:5">
      <c r="A56" s="90" t="s">
        <v>210</v>
      </c>
      <c r="B56" s="100">
        <f>B54/B51</f>
        <v>249881.88307273964</v>
      </c>
      <c r="C56" s="106" t="s">
        <v>206</v>
      </c>
      <c r="D56" s="98"/>
    </row>
    <row r="57" spans="1:5" ht="28.5">
      <c r="A57" s="89" t="s">
        <v>211</v>
      </c>
      <c r="B57" s="100">
        <f>B55/B51</f>
        <v>91623.357126671195</v>
      </c>
      <c r="C57" s="106" t="s">
        <v>208</v>
      </c>
      <c r="D57" s="98"/>
    </row>
    <row r="58" spans="1:5" ht="42" customHeight="1">
      <c r="A58" s="108" t="s">
        <v>222</v>
      </c>
      <c r="B58" s="100">
        <f>B56*10%</f>
        <v>24988.188307273966</v>
      </c>
      <c r="C58" s="106" t="s">
        <v>209</v>
      </c>
      <c r="D58" s="98"/>
    </row>
  </sheetData>
  <phoneticPr fontId="6"/>
  <hyperlinks>
    <hyperlink ref="E49"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N67"/>
  <sheetViews>
    <sheetView topLeftCell="A22" workbookViewId="0">
      <selection activeCell="H22" sqref="H22"/>
    </sheetView>
  </sheetViews>
  <sheetFormatPr defaultRowHeight="14.25"/>
  <cols>
    <col min="1" max="1" width="9" style="22"/>
    <col min="2" max="2" width="14" style="22" customWidth="1"/>
    <col min="3" max="4" width="9" style="22"/>
    <col min="5" max="5" width="10.875" style="22" bestFit="1" customWidth="1"/>
    <col min="6" max="7" width="9" style="22"/>
    <col min="8" max="11" width="17.875" style="22" customWidth="1"/>
    <col min="12" max="16384" width="9" style="22"/>
  </cols>
  <sheetData>
    <row r="1" spans="2:6" ht="15">
      <c r="B1" s="28" t="s">
        <v>165</v>
      </c>
    </row>
    <row r="2" spans="2:6" ht="42.75" customHeight="1">
      <c r="B2" s="71"/>
      <c r="C2" s="118" t="s">
        <v>166</v>
      </c>
      <c r="D2" s="114"/>
      <c r="E2" s="114" t="s">
        <v>81</v>
      </c>
      <c r="F2" s="114"/>
    </row>
    <row r="3" spans="2:6" ht="28.5">
      <c r="B3" s="71"/>
      <c r="C3" s="27" t="s">
        <v>75</v>
      </c>
      <c r="D3" s="72" t="s">
        <v>76</v>
      </c>
      <c r="E3" s="27" t="s">
        <v>75</v>
      </c>
      <c r="F3" s="72" t="s">
        <v>76</v>
      </c>
    </row>
    <row r="4" spans="2:6">
      <c r="B4" s="71" t="s">
        <v>82</v>
      </c>
      <c r="C4" s="71">
        <v>1</v>
      </c>
      <c r="D4" s="73">
        <f>C4/$C$66</f>
        <v>1.5873015873015872E-2</v>
      </c>
      <c r="E4" s="71">
        <v>17393</v>
      </c>
      <c r="F4" s="73">
        <f>E4/$E$66</f>
        <v>0.77657722016341479</v>
      </c>
    </row>
    <row r="5" spans="2:6">
      <c r="B5" s="71" t="s">
        <v>83</v>
      </c>
      <c r="C5" s="71">
        <v>7</v>
      </c>
      <c r="D5" s="73">
        <f t="shared" ref="D5:D65" si="0">C5/$C$66</f>
        <v>0.1111111111111111</v>
      </c>
      <c r="E5" s="71">
        <v>4161</v>
      </c>
      <c r="F5" s="73">
        <f t="shared" ref="F5:F65" si="1">E5/$E$66</f>
        <v>0.18578381033174085</v>
      </c>
    </row>
    <row r="6" spans="2:6">
      <c r="B6" s="71" t="s">
        <v>84</v>
      </c>
      <c r="C6" s="71">
        <v>1</v>
      </c>
      <c r="D6" s="73">
        <f t="shared" si="0"/>
        <v>1.5873015873015872E-2</v>
      </c>
      <c r="E6" s="71">
        <v>302</v>
      </c>
      <c r="F6" s="73">
        <f t="shared" si="1"/>
        <v>1.3483948743135242E-2</v>
      </c>
    </row>
    <row r="7" spans="2:6">
      <c r="B7" s="71" t="s">
        <v>85</v>
      </c>
      <c r="C7" s="71">
        <v>3</v>
      </c>
      <c r="D7" s="73">
        <f t="shared" si="0"/>
        <v>4.7619047619047616E-2</v>
      </c>
      <c r="E7" s="71">
        <v>133</v>
      </c>
      <c r="F7" s="73">
        <f t="shared" si="1"/>
        <v>5.9382953074072417E-3</v>
      </c>
    </row>
    <row r="8" spans="2:6">
      <c r="B8" s="71" t="s">
        <v>86</v>
      </c>
      <c r="C8" s="71">
        <v>10</v>
      </c>
      <c r="D8" s="73">
        <f t="shared" si="0"/>
        <v>0.15873015873015872</v>
      </c>
      <c r="E8" s="71">
        <v>76</v>
      </c>
      <c r="F8" s="73">
        <f t="shared" si="1"/>
        <v>3.3933116042327099E-3</v>
      </c>
    </row>
    <row r="9" spans="2:6">
      <c r="B9" s="71" t="s">
        <v>87</v>
      </c>
      <c r="C9" s="71">
        <v>2</v>
      </c>
      <c r="D9" s="73">
        <f t="shared" si="0"/>
        <v>3.1746031746031744E-2</v>
      </c>
      <c r="E9" s="71">
        <v>41</v>
      </c>
      <c r="F9" s="73">
        <f t="shared" si="1"/>
        <v>1.8306023128097514E-3</v>
      </c>
    </row>
    <row r="10" spans="2:6">
      <c r="B10" s="71" t="s">
        <v>88</v>
      </c>
      <c r="C10" s="71">
        <v>3</v>
      </c>
      <c r="D10" s="73">
        <f t="shared" si="0"/>
        <v>4.7619047619047616E-2</v>
      </c>
      <c r="E10" s="71">
        <v>58</v>
      </c>
      <c r="F10" s="73">
        <f t="shared" si="1"/>
        <v>2.5896325400723312E-3</v>
      </c>
    </row>
    <row r="11" spans="2:6">
      <c r="B11" s="71" t="s">
        <v>111</v>
      </c>
      <c r="C11" s="71"/>
      <c r="D11" s="73">
        <f t="shared" si="0"/>
        <v>0</v>
      </c>
      <c r="E11" s="71">
        <v>31</v>
      </c>
      <c r="F11" s="73">
        <f t="shared" si="1"/>
        <v>1.3841139438317631E-3</v>
      </c>
    </row>
    <row r="12" spans="2:6">
      <c r="B12" s="71" t="s">
        <v>89</v>
      </c>
      <c r="C12" s="71">
        <v>1</v>
      </c>
      <c r="D12" s="73">
        <f t="shared" si="0"/>
        <v>1.5873015873015872E-2</v>
      </c>
      <c r="E12" s="71">
        <v>26</v>
      </c>
      <c r="F12" s="73">
        <f t="shared" si="1"/>
        <v>1.1608697593427691E-3</v>
      </c>
    </row>
    <row r="13" spans="2:6">
      <c r="B13" s="71" t="s">
        <v>90</v>
      </c>
      <c r="C13" s="71">
        <v>1</v>
      </c>
      <c r="D13" s="73">
        <f t="shared" si="0"/>
        <v>1.5873015873015872E-2</v>
      </c>
      <c r="E13" s="71">
        <v>22</v>
      </c>
      <c r="F13" s="73">
        <f t="shared" si="1"/>
        <v>9.822744117515738E-4</v>
      </c>
    </row>
    <row r="14" spans="2:6">
      <c r="B14" s="71" t="s">
        <v>91</v>
      </c>
      <c r="C14" s="71">
        <v>2</v>
      </c>
      <c r="D14" s="73">
        <f t="shared" si="0"/>
        <v>3.1746031746031744E-2</v>
      </c>
      <c r="E14" s="71">
        <v>28</v>
      </c>
      <c r="F14" s="73">
        <f t="shared" si="1"/>
        <v>1.2501674331383667E-3</v>
      </c>
    </row>
    <row r="15" spans="2:6">
      <c r="B15" s="71" t="s">
        <v>112</v>
      </c>
      <c r="C15" s="71"/>
      <c r="D15" s="73">
        <f t="shared" si="0"/>
        <v>0</v>
      </c>
      <c r="E15" s="71">
        <v>4</v>
      </c>
      <c r="F15" s="73">
        <f t="shared" si="1"/>
        <v>1.7859534759119525E-4</v>
      </c>
    </row>
    <row r="16" spans="2:6">
      <c r="B16" s="71" t="s">
        <v>92</v>
      </c>
      <c r="C16" s="71">
        <v>2</v>
      </c>
      <c r="D16" s="73">
        <f t="shared" si="0"/>
        <v>3.1746031746031744E-2</v>
      </c>
      <c r="E16" s="71">
        <v>8</v>
      </c>
      <c r="F16" s="73">
        <f t="shared" si="1"/>
        <v>3.5719069518239051E-4</v>
      </c>
    </row>
    <row r="17" spans="1:14">
      <c r="B17" s="71" t="s">
        <v>93</v>
      </c>
      <c r="C17" s="71">
        <v>1</v>
      </c>
      <c r="D17" s="73">
        <f t="shared" si="0"/>
        <v>1.5873015873015872E-2</v>
      </c>
      <c r="E17" s="71"/>
      <c r="F17" s="73">
        <f t="shared" si="1"/>
        <v>0</v>
      </c>
    </row>
    <row r="18" spans="1:14">
      <c r="B18" s="71" t="s">
        <v>94</v>
      </c>
      <c r="C18" s="71">
        <v>1</v>
      </c>
      <c r="D18" s="73">
        <f t="shared" si="0"/>
        <v>1.5873015873015872E-2</v>
      </c>
      <c r="E18" s="71">
        <v>9</v>
      </c>
      <c r="F18" s="73">
        <f t="shared" si="1"/>
        <v>4.0183953208018929E-4</v>
      </c>
    </row>
    <row r="19" spans="1:14">
      <c r="B19" s="71" t="s">
        <v>95</v>
      </c>
      <c r="C19" s="71">
        <v>1</v>
      </c>
      <c r="D19" s="73">
        <f t="shared" si="0"/>
        <v>1.5873015873015872E-2</v>
      </c>
      <c r="E19" s="71">
        <v>9</v>
      </c>
      <c r="F19" s="73">
        <f t="shared" si="1"/>
        <v>4.0183953208018929E-4</v>
      </c>
    </row>
    <row r="20" spans="1:14" s="7" customFormat="1">
      <c r="B20" s="71" t="s">
        <v>96</v>
      </c>
      <c r="C20" s="71">
        <v>4</v>
      </c>
      <c r="D20" s="73">
        <f t="shared" si="0"/>
        <v>6.3492063492063489E-2</v>
      </c>
      <c r="E20" s="71">
        <v>2</v>
      </c>
      <c r="F20" s="73">
        <f t="shared" si="1"/>
        <v>8.9297673795597627E-5</v>
      </c>
    </row>
    <row r="21" spans="1:14">
      <c r="A21" s="23"/>
      <c r="B21" s="71" t="s">
        <v>113</v>
      </c>
      <c r="C21" s="71"/>
      <c r="D21" s="73">
        <f t="shared" si="0"/>
        <v>0</v>
      </c>
      <c r="E21" s="71"/>
      <c r="F21" s="73">
        <f t="shared" si="1"/>
        <v>0</v>
      </c>
    </row>
    <row r="22" spans="1:14">
      <c r="A22" s="23"/>
      <c r="B22" s="71" t="s">
        <v>97</v>
      </c>
      <c r="C22" s="71">
        <v>2</v>
      </c>
      <c r="D22" s="73">
        <f t="shared" si="0"/>
        <v>3.1746031746031744E-2</v>
      </c>
      <c r="E22" s="71">
        <v>4</v>
      </c>
      <c r="F22" s="73">
        <f t="shared" si="1"/>
        <v>1.7859534759119525E-4</v>
      </c>
      <c r="N22" s="7"/>
    </row>
    <row r="23" spans="1:14">
      <c r="A23" s="23"/>
      <c r="B23" s="71" t="s">
        <v>98</v>
      </c>
      <c r="C23" s="71">
        <v>2</v>
      </c>
      <c r="D23" s="73">
        <f t="shared" si="0"/>
        <v>3.1746031746031744E-2</v>
      </c>
      <c r="E23" s="71">
        <v>1</v>
      </c>
      <c r="F23" s="73">
        <f t="shared" si="1"/>
        <v>4.4648836897798814E-5</v>
      </c>
      <c r="N23" s="23"/>
    </row>
    <row r="24" spans="1:14">
      <c r="A24" s="23"/>
      <c r="B24" s="71" t="s">
        <v>99</v>
      </c>
      <c r="C24" s="71">
        <v>5</v>
      </c>
      <c r="D24" s="73">
        <f t="shared" si="0"/>
        <v>7.9365079365079361E-2</v>
      </c>
      <c r="E24" s="71">
        <v>4</v>
      </c>
      <c r="F24" s="73">
        <f t="shared" si="1"/>
        <v>1.7859534759119525E-4</v>
      </c>
      <c r="N24" s="23"/>
    </row>
    <row r="25" spans="1:14">
      <c r="A25" s="23"/>
      <c r="B25" s="71" t="s">
        <v>100</v>
      </c>
      <c r="C25" s="71">
        <v>1</v>
      </c>
      <c r="D25" s="73">
        <f t="shared" si="0"/>
        <v>1.5873015873015872E-2</v>
      </c>
      <c r="E25" s="71"/>
      <c r="F25" s="73">
        <f t="shared" si="1"/>
        <v>0</v>
      </c>
      <c r="N25" s="23"/>
    </row>
    <row r="26" spans="1:14">
      <c r="A26" s="23"/>
      <c r="B26" s="71" t="s">
        <v>114</v>
      </c>
      <c r="C26" s="71"/>
      <c r="D26" s="73">
        <f t="shared" si="0"/>
        <v>0</v>
      </c>
      <c r="E26" s="71"/>
      <c r="F26" s="73">
        <f t="shared" si="1"/>
        <v>0</v>
      </c>
      <c r="N26" s="23"/>
    </row>
    <row r="27" spans="1:14">
      <c r="A27" s="23"/>
      <c r="B27" s="71" t="s">
        <v>115</v>
      </c>
      <c r="C27" s="71"/>
      <c r="D27" s="73">
        <f t="shared" si="0"/>
        <v>0</v>
      </c>
      <c r="E27" s="71"/>
      <c r="F27" s="73">
        <f t="shared" si="1"/>
        <v>0</v>
      </c>
      <c r="L27" s="23"/>
      <c r="M27" s="23"/>
      <c r="N27" s="23"/>
    </row>
    <row r="28" spans="1:14">
      <c r="B28" s="71" t="s">
        <v>116</v>
      </c>
      <c r="C28" s="71"/>
      <c r="D28" s="73">
        <f t="shared" si="0"/>
        <v>0</v>
      </c>
      <c r="E28" s="71">
        <v>33</v>
      </c>
      <c r="F28" s="73">
        <f t="shared" si="1"/>
        <v>1.4734116176273607E-3</v>
      </c>
      <c r="K28" s="23"/>
      <c r="L28" s="23"/>
      <c r="M28" s="23"/>
      <c r="N28" s="23"/>
    </row>
    <row r="29" spans="1:14">
      <c r="B29" s="71" t="s">
        <v>117</v>
      </c>
      <c r="C29" s="71"/>
      <c r="D29" s="73">
        <f t="shared" si="0"/>
        <v>0</v>
      </c>
      <c r="E29" s="71">
        <v>1</v>
      </c>
      <c r="F29" s="73">
        <f t="shared" si="1"/>
        <v>4.4648836897798814E-5</v>
      </c>
    </row>
    <row r="30" spans="1:14">
      <c r="B30" s="71" t="s">
        <v>118</v>
      </c>
      <c r="C30" s="71"/>
      <c r="D30" s="73">
        <f t="shared" si="0"/>
        <v>0</v>
      </c>
      <c r="E30" s="71"/>
      <c r="F30" s="73">
        <f t="shared" si="1"/>
        <v>0</v>
      </c>
    </row>
    <row r="31" spans="1:14" ht="15">
      <c r="B31" s="71" t="s">
        <v>101</v>
      </c>
      <c r="C31" s="71">
        <v>2</v>
      </c>
      <c r="D31" s="73">
        <f t="shared" si="0"/>
        <v>3.1746031746031744E-2</v>
      </c>
      <c r="E31" s="71"/>
      <c r="F31" s="73">
        <f t="shared" si="1"/>
        <v>0</v>
      </c>
      <c r="H31" s="28" t="s">
        <v>80</v>
      </c>
    </row>
    <row r="32" spans="1:14">
      <c r="B32" s="71" t="s">
        <v>119</v>
      </c>
      <c r="C32" s="71"/>
      <c r="D32" s="73">
        <f t="shared" si="0"/>
        <v>0</v>
      </c>
      <c r="E32" s="71">
        <v>1</v>
      </c>
      <c r="F32" s="73">
        <f t="shared" si="1"/>
        <v>4.4648836897798814E-5</v>
      </c>
      <c r="H32" s="4"/>
      <c r="I32" s="74" t="s">
        <v>166</v>
      </c>
      <c r="J32" s="75" t="s">
        <v>171</v>
      </c>
      <c r="K32" s="4" t="s">
        <v>74</v>
      </c>
    </row>
    <row r="33" spans="2:11">
      <c r="B33" s="71" t="s">
        <v>120</v>
      </c>
      <c r="C33" s="71"/>
      <c r="D33" s="73">
        <f t="shared" si="0"/>
        <v>0</v>
      </c>
      <c r="E33" s="71"/>
      <c r="F33" s="73">
        <f t="shared" si="1"/>
        <v>0</v>
      </c>
      <c r="H33" s="76" t="s">
        <v>77</v>
      </c>
      <c r="I33" s="10">
        <v>1538</v>
      </c>
      <c r="J33" s="77">
        <v>72</v>
      </c>
      <c r="K33" s="10">
        <v>788</v>
      </c>
    </row>
    <row r="34" spans="2:11">
      <c r="B34" s="71" t="s">
        <v>102</v>
      </c>
      <c r="C34" s="71">
        <v>2</v>
      </c>
      <c r="D34" s="73">
        <f t="shared" si="0"/>
        <v>3.1746031746031744E-2</v>
      </c>
      <c r="E34" s="71">
        <v>4</v>
      </c>
      <c r="F34" s="73">
        <f t="shared" si="1"/>
        <v>1.7859534759119525E-4</v>
      </c>
      <c r="H34" s="71" t="s">
        <v>78</v>
      </c>
      <c r="I34" s="10">
        <v>5346</v>
      </c>
      <c r="J34" s="77">
        <v>48000</v>
      </c>
      <c r="K34" s="10">
        <v>3600</v>
      </c>
    </row>
    <row r="35" spans="2:11">
      <c r="B35" s="71" t="s">
        <v>103</v>
      </c>
      <c r="C35" s="71">
        <v>1</v>
      </c>
      <c r="D35" s="73">
        <f t="shared" si="0"/>
        <v>1.5873015873015872E-2</v>
      </c>
      <c r="E35" s="71"/>
      <c r="F35" s="73">
        <f t="shared" si="1"/>
        <v>0</v>
      </c>
      <c r="H35" s="71" t="s">
        <v>79</v>
      </c>
      <c r="I35" s="10">
        <v>90</v>
      </c>
      <c r="J35" s="77">
        <v>1</v>
      </c>
      <c r="K35" s="10">
        <v>10</v>
      </c>
    </row>
    <row r="36" spans="2:11" ht="42.75">
      <c r="B36" s="71" t="s">
        <v>121</v>
      </c>
      <c r="C36" s="71"/>
      <c r="D36" s="73">
        <f t="shared" si="0"/>
        <v>0</v>
      </c>
      <c r="E36" s="71"/>
      <c r="F36" s="73">
        <f t="shared" si="1"/>
        <v>0</v>
      </c>
      <c r="H36" s="78" t="s">
        <v>167</v>
      </c>
      <c r="I36" s="79" t="s">
        <v>168</v>
      </c>
      <c r="J36" s="80" t="s">
        <v>170</v>
      </c>
      <c r="K36" s="79" t="s">
        <v>168</v>
      </c>
    </row>
    <row r="37" spans="2:11">
      <c r="B37" s="71" t="s">
        <v>122</v>
      </c>
      <c r="C37" s="71"/>
      <c r="D37" s="73">
        <f t="shared" si="0"/>
        <v>0</v>
      </c>
      <c r="E37" s="71"/>
      <c r="F37" s="73">
        <f t="shared" si="1"/>
        <v>0</v>
      </c>
      <c r="H37" s="78" t="s">
        <v>169</v>
      </c>
      <c r="I37" s="71">
        <v>63</v>
      </c>
      <c r="J37" s="81">
        <v>22397</v>
      </c>
      <c r="K37" s="71">
        <v>162</v>
      </c>
    </row>
    <row r="38" spans="2:11">
      <c r="B38" s="71" t="s">
        <v>123</v>
      </c>
      <c r="C38" s="71"/>
      <c r="D38" s="73">
        <f t="shared" si="0"/>
        <v>0</v>
      </c>
      <c r="E38" s="71"/>
      <c r="F38" s="73">
        <f t="shared" si="1"/>
        <v>0</v>
      </c>
    </row>
    <row r="39" spans="2:11">
      <c r="B39" s="71" t="s">
        <v>124</v>
      </c>
      <c r="C39" s="71"/>
      <c r="D39" s="73">
        <f t="shared" si="0"/>
        <v>0</v>
      </c>
      <c r="E39" s="71"/>
      <c r="F39" s="73">
        <f t="shared" si="1"/>
        <v>0</v>
      </c>
    </row>
    <row r="40" spans="2:11">
      <c r="B40" s="71" t="s">
        <v>104</v>
      </c>
      <c r="C40" s="71">
        <v>2</v>
      </c>
      <c r="D40" s="73">
        <f t="shared" si="0"/>
        <v>3.1746031746031744E-2</v>
      </c>
      <c r="E40" s="71"/>
      <c r="F40" s="73">
        <f t="shared" si="1"/>
        <v>0</v>
      </c>
    </row>
    <row r="41" spans="2:11">
      <c r="B41" s="71" t="s">
        <v>125</v>
      </c>
      <c r="C41" s="71"/>
      <c r="D41" s="73">
        <f t="shared" si="0"/>
        <v>0</v>
      </c>
      <c r="E41" s="71"/>
      <c r="F41" s="73">
        <f t="shared" si="1"/>
        <v>0</v>
      </c>
    </row>
    <row r="42" spans="2:11">
      <c r="B42" s="71" t="s">
        <v>126</v>
      </c>
      <c r="C42" s="71"/>
      <c r="D42" s="73">
        <f t="shared" si="0"/>
        <v>0</v>
      </c>
      <c r="E42" s="71">
        <v>1</v>
      </c>
      <c r="F42" s="73">
        <f t="shared" si="1"/>
        <v>4.4648836897798814E-5</v>
      </c>
    </row>
    <row r="43" spans="2:11">
      <c r="B43" s="71" t="s">
        <v>127</v>
      </c>
      <c r="C43" s="71"/>
      <c r="D43" s="73">
        <f t="shared" si="0"/>
        <v>0</v>
      </c>
      <c r="E43" s="71"/>
      <c r="F43" s="73">
        <f t="shared" si="1"/>
        <v>0</v>
      </c>
    </row>
    <row r="44" spans="2:11">
      <c r="B44" s="71" t="s">
        <v>105</v>
      </c>
      <c r="C44" s="71">
        <v>1</v>
      </c>
      <c r="D44" s="73">
        <f t="shared" si="0"/>
        <v>1.5873015873015872E-2</v>
      </c>
      <c r="E44" s="71"/>
      <c r="F44" s="73">
        <f t="shared" si="1"/>
        <v>0</v>
      </c>
    </row>
    <row r="45" spans="2:11">
      <c r="B45" s="71" t="s">
        <v>128</v>
      </c>
      <c r="C45" s="71"/>
      <c r="D45" s="73">
        <f t="shared" si="0"/>
        <v>0</v>
      </c>
      <c r="E45" s="71"/>
      <c r="F45" s="73">
        <f t="shared" si="1"/>
        <v>0</v>
      </c>
    </row>
    <row r="46" spans="2:11">
      <c r="B46" s="71" t="s">
        <v>129</v>
      </c>
      <c r="C46" s="71"/>
      <c r="D46" s="73">
        <f t="shared" si="0"/>
        <v>0</v>
      </c>
      <c r="E46" s="71">
        <v>1</v>
      </c>
      <c r="F46" s="73">
        <f t="shared" si="1"/>
        <v>4.4648836897798814E-5</v>
      </c>
    </row>
    <row r="47" spans="2:11">
      <c r="B47" s="71" t="s">
        <v>130</v>
      </c>
      <c r="C47" s="71"/>
      <c r="D47" s="73">
        <f t="shared" si="0"/>
        <v>0</v>
      </c>
      <c r="E47" s="71"/>
      <c r="F47" s="73">
        <f t="shared" si="1"/>
        <v>0</v>
      </c>
    </row>
    <row r="48" spans="2:11">
      <c r="B48" s="71" t="s">
        <v>131</v>
      </c>
      <c r="C48" s="71"/>
      <c r="D48" s="73">
        <f t="shared" si="0"/>
        <v>0</v>
      </c>
      <c r="E48" s="71"/>
      <c r="F48" s="73">
        <f t="shared" si="1"/>
        <v>0</v>
      </c>
    </row>
    <row r="49" spans="2:6">
      <c r="B49" s="71" t="s">
        <v>132</v>
      </c>
      <c r="C49" s="71"/>
      <c r="D49" s="73">
        <f t="shared" si="0"/>
        <v>0</v>
      </c>
      <c r="E49" s="71">
        <v>1</v>
      </c>
      <c r="F49" s="73">
        <f t="shared" si="1"/>
        <v>4.4648836897798814E-5</v>
      </c>
    </row>
    <row r="50" spans="2:6">
      <c r="B50" s="71" t="s">
        <v>133</v>
      </c>
      <c r="C50" s="71"/>
      <c r="D50" s="73">
        <f t="shared" si="0"/>
        <v>0</v>
      </c>
      <c r="E50" s="71"/>
      <c r="F50" s="73">
        <f t="shared" si="1"/>
        <v>0</v>
      </c>
    </row>
    <row r="51" spans="2:6">
      <c r="B51" s="71" t="s">
        <v>134</v>
      </c>
      <c r="C51" s="71"/>
      <c r="D51" s="73">
        <f t="shared" si="0"/>
        <v>0</v>
      </c>
      <c r="E51" s="71"/>
      <c r="F51" s="73">
        <f t="shared" si="1"/>
        <v>0</v>
      </c>
    </row>
    <row r="52" spans="2:6">
      <c r="B52" s="71" t="s">
        <v>106</v>
      </c>
      <c r="C52" s="71">
        <v>2</v>
      </c>
      <c r="D52" s="73">
        <f t="shared" si="0"/>
        <v>3.1746031746031744E-2</v>
      </c>
      <c r="E52" s="71">
        <v>2</v>
      </c>
      <c r="F52" s="73">
        <f t="shared" si="1"/>
        <v>8.9297673795597627E-5</v>
      </c>
    </row>
    <row r="53" spans="2:6">
      <c r="B53" s="71" t="s">
        <v>135</v>
      </c>
      <c r="C53" s="71"/>
      <c r="D53" s="73">
        <f t="shared" si="0"/>
        <v>0</v>
      </c>
      <c r="E53" s="71"/>
      <c r="F53" s="73">
        <f t="shared" si="1"/>
        <v>0</v>
      </c>
    </row>
    <row r="54" spans="2:6">
      <c r="B54" s="71" t="s">
        <v>136</v>
      </c>
      <c r="C54" s="71"/>
      <c r="D54" s="73">
        <f t="shared" si="0"/>
        <v>0</v>
      </c>
      <c r="E54" s="71">
        <v>34</v>
      </c>
      <c r="F54" s="73">
        <f t="shared" si="1"/>
        <v>1.5180604545251596E-3</v>
      </c>
    </row>
    <row r="55" spans="2:6">
      <c r="B55" s="71" t="s">
        <v>107</v>
      </c>
      <c r="C55" s="71">
        <v>1</v>
      </c>
      <c r="D55" s="73">
        <f t="shared" si="0"/>
        <v>1.5873015873015872E-2</v>
      </c>
      <c r="E55" s="71"/>
      <c r="F55" s="73">
        <f t="shared" si="1"/>
        <v>0</v>
      </c>
    </row>
    <row r="56" spans="2:6">
      <c r="B56" s="71" t="s">
        <v>108</v>
      </c>
      <c r="C56" s="71">
        <v>1</v>
      </c>
      <c r="D56" s="73">
        <f t="shared" si="0"/>
        <v>1.5873015873015872E-2</v>
      </c>
      <c r="E56" s="71"/>
      <c r="F56" s="73">
        <f t="shared" si="1"/>
        <v>0</v>
      </c>
    </row>
    <row r="57" spans="2:6">
      <c r="B57" s="71" t="s">
        <v>109</v>
      </c>
      <c r="C57" s="71">
        <v>1</v>
      </c>
      <c r="D57" s="73">
        <f t="shared" si="0"/>
        <v>1.5873015873015872E-2</v>
      </c>
      <c r="E57" s="71"/>
      <c r="F57" s="73">
        <f t="shared" si="1"/>
        <v>0</v>
      </c>
    </row>
    <row r="58" spans="2:6">
      <c r="B58" s="71" t="s">
        <v>137</v>
      </c>
      <c r="C58" s="71"/>
      <c r="D58" s="73">
        <f t="shared" si="0"/>
        <v>0</v>
      </c>
      <c r="E58" s="71"/>
      <c r="F58" s="73">
        <f t="shared" si="1"/>
        <v>0</v>
      </c>
    </row>
    <row r="59" spans="2:6">
      <c r="B59" s="71" t="s">
        <v>138</v>
      </c>
      <c r="C59" s="71"/>
      <c r="D59" s="73">
        <f t="shared" si="0"/>
        <v>0</v>
      </c>
      <c r="E59" s="71"/>
      <c r="F59" s="73">
        <f t="shared" si="1"/>
        <v>0</v>
      </c>
    </row>
    <row r="60" spans="2:6">
      <c r="B60" s="71" t="s">
        <v>139</v>
      </c>
      <c r="C60" s="71"/>
      <c r="D60" s="73">
        <f t="shared" si="0"/>
        <v>0</v>
      </c>
      <c r="E60" s="71"/>
      <c r="F60" s="73">
        <f t="shared" si="1"/>
        <v>0</v>
      </c>
    </row>
    <row r="61" spans="2:6">
      <c r="B61" s="71" t="s">
        <v>140</v>
      </c>
      <c r="C61" s="71"/>
      <c r="D61" s="73">
        <f t="shared" si="0"/>
        <v>0</v>
      </c>
      <c r="E61" s="71">
        <v>1</v>
      </c>
      <c r="F61" s="73">
        <f t="shared" si="1"/>
        <v>4.4648836897798814E-5</v>
      </c>
    </row>
    <row r="62" spans="2:6">
      <c r="B62" s="71" t="s">
        <v>141</v>
      </c>
      <c r="C62" s="71"/>
      <c r="D62" s="73">
        <f t="shared" si="0"/>
        <v>0</v>
      </c>
      <c r="E62" s="71"/>
      <c r="F62" s="73">
        <f t="shared" si="1"/>
        <v>0</v>
      </c>
    </row>
    <row r="63" spans="2:6">
      <c r="B63" s="71" t="s">
        <v>142</v>
      </c>
      <c r="C63" s="71"/>
      <c r="D63" s="73">
        <f t="shared" si="0"/>
        <v>0</v>
      </c>
      <c r="E63" s="71"/>
      <c r="F63" s="73">
        <f t="shared" si="1"/>
        <v>0</v>
      </c>
    </row>
    <row r="64" spans="2:6">
      <c r="B64" s="71" t="s">
        <v>143</v>
      </c>
      <c r="C64" s="71"/>
      <c r="D64" s="73">
        <f t="shared" si="0"/>
        <v>0</v>
      </c>
      <c r="E64" s="71">
        <v>1</v>
      </c>
      <c r="F64" s="73">
        <f t="shared" si="1"/>
        <v>4.4648836897798814E-5</v>
      </c>
    </row>
    <row r="65" spans="2:6">
      <c r="B65" s="82" t="s">
        <v>110</v>
      </c>
      <c r="C65" s="71"/>
      <c r="D65" s="73">
        <f t="shared" si="0"/>
        <v>0</v>
      </c>
      <c r="E65" s="71">
        <v>5</v>
      </c>
      <c r="F65" s="73">
        <f t="shared" si="1"/>
        <v>2.2324418448899406E-4</v>
      </c>
    </row>
    <row r="66" spans="2:6">
      <c r="B66" s="71" t="s">
        <v>65</v>
      </c>
      <c r="C66" s="71">
        <f>SUM(C4:C65)</f>
        <v>63</v>
      </c>
      <c r="D66" s="71"/>
      <c r="E66" s="81">
        <f>SUM(E4:E65)</f>
        <v>22397</v>
      </c>
      <c r="F66" s="71"/>
    </row>
    <row r="67" spans="2:6">
      <c r="E67" s="83" t="s">
        <v>161</v>
      </c>
    </row>
  </sheetData>
  <autoFilter ref="B3:E70">
    <filterColumn colId="2"/>
  </autoFilter>
  <mergeCells count="2">
    <mergeCell ref="C2:D2"/>
    <mergeCell ref="E2:F2"/>
  </mergeCells>
  <phoneticPr fontId="6"/>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Sheet1</vt:lpstr>
      <vt:lpstr>Sample</vt:lpstr>
      <vt:lpstr>Tech3, Tech4, leakage</vt:lpstr>
      <vt:lpstr>Survey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a-fukui</dc:creator>
  <cp:lastModifiedBy>a-fukui</cp:lastModifiedBy>
  <dcterms:created xsi:type="dcterms:W3CDTF">2012-06-27T07:45:59Z</dcterms:created>
  <dcterms:modified xsi:type="dcterms:W3CDTF">2013-04-22T04:26:59Z</dcterms:modified>
</cp:coreProperties>
</file>