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35" yWindow="180" windowWidth="27240" windowHeight="11355" tabRatio="541"/>
  </bookViews>
  <sheets>
    <sheet name="Sheet1" sheetId="10" r:id="rId1"/>
    <sheet name="Tech1" sheetId="4" r:id="rId2"/>
    <sheet name="Tech2" sheetId="5" r:id="rId3"/>
    <sheet name="Tech3" sheetId="6" r:id="rId4"/>
    <sheet name="Tech4" sheetId="7" r:id="rId5"/>
    <sheet name="Comparison" sheetId="1" r:id="rId6"/>
    <sheet name="Sample" sheetId="8" r:id="rId7"/>
    <sheet name="Gasification" sheetId="9" r:id="rId8"/>
  </sheets>
  <definedNames>
    <definedName name="_xlnm._FilterDatabase" localSheetId="7" hidden="1">Gasification!$A$2:$R$28</definedName>
    <definedName name="_xlnm._FilterDatabase" localSheetId="6" hidden="1">Sample!$A$2:$N$65</definedName>
    <definedName name="_xlnm._FilterDatabase" localSheetId="3" hidden="1">Tech3!#REF!</definedName>
  </definedNames>
  <calcPr calcId="125725"/>
</workbook>
</file>

<file path=xl/calcChain.xml><?xml version="1.0" encoding="utf-8"?>
<calcChain xmlns="http://schemas.openxmlformats.org/spreadsheetml/2006/main">
  <c r="N3" i="8"/>
  <c r="B14" i="7"/>
  <c r="B7"/>
  <c r="D33"/>
  <c r="C20" i="1"/>
  <c r="D20"/>
  <c r="B20"/>
  <c r="C13"/>
  <c r="D13"/>
  <c r="E13"/>
  <c r="B13"/>
  <c r="J3" i="8" l="1"/>
  <c r="M3"/>
  <c r="K3"/>
  <c r="L25" i="9"/>
  <c r="L4"/>
  <c r="M4"/>
  <c r="O4"/>
  <c r="Q4"/>
  <c r="L5"/>
  <c r="M5"/>
  <c r="O5"/>
  <c r="L6"/>
  <c r="M6"/>
  <c r="O6"/>
  <c r="P6" s="1"/>
  <c r="L7"/>
  <c r="M7"/>
  <c r="O7"/>
  <c r="L8"/>
  <c r="M8"/>
  <c r="O8"/>
  <c r="L9"/>
  <c r="M9"/>
  <c r="O9"/>
  <c r="L10"/>
  <c r="M10"/>
  <c r="O10"/>
  <c r="L11"/>
  <c r="M11"/>
  <c r="N11" s="1"/>
  <c r="O11"/>
  <c r="L12"/>
  <c r="M12"/>
  <c r="O12"/>
  <c r="P12" s="1"/>
  <c r="L13"/>
  <c r="M13"/>
  <c r="O13"/>
  <c r="L14"/>
  <c r="M14"/>
  <c r="O14"/>
  <c r="P14" s="1"/>
  <c r="L15"/>
  <c r="M15"/>
  <c r="O15"/>
  <c r="L16"/>
  <c r="M16"/>
  <c r="O16"/>
  <c r="L17"/>
  <c r="M17"/>
  <c r="O17"/>
  <c r="L18"/>
  <c r="M18"/>
  <c r="O18"/>
  <c r="L19"/>
  <c r="M19"/>
  <c r="O19"/>
  <c r="P19" s="1"/>
  <c r="L20"/>
  <c r="M20"/>
  <c r="N20" s="1"/>
  <c r="O20"/>
  <c r="L21"/>
  <c r="M21"/>
  <c r="O21"/>
  <c r="Q21" s="1"/>
  <c r="L22"/>
  <c r="M22"/>
  <c r="O22"/>
  <c r="Q22" s="1"/>
  <c r="L23"/>
  <c r="M23"/>
  <c r="N23" s="1"/>
  <c r="O23"/>
  <c r="L24"/>
  <c r="M24"/>
  <c r="O24"/>
  <c r="M25"/>
  <c r="O25"/>
  <c r="L26"/>
  <c r="M26"/>
  <c r="O26"/>
  <c r="L27"/>
  <c r="M27"/>
  <c r="O27"/>
  <c r="O3"/>
  <c r="M3"/>
  <c r="L3"/>
  <c r="N26" l="1"/>
  <c r="Q24"/>
  <c r="N22"/>
  <c r="Q19"/>
  <c r="N17"/>
  <c r="N13"/>
  <c r="N5"/>
  <c r="Q23"/>
  <c r="P4"/>
  <c r="P3"/>
  <c r="Q5"/>
  <c r="P8"/>
  <c r="N25"/>
  <c r="P21"/>
  <c r="Q20"/>
  <c r="N14"/>
  <c r="N3"/>
  <c r="N24"/>
  <c r="Q12"/>
  <c r="Q11"/>
  <c r="Q13"/>
  <c r="P10"/>
  <c r="N7"/>
  <c r="P7"/>
  <c r="N18"/>
  <c r="N9"/>
  <c r="Q26"/>
  <c r="N16"/>
  <c r="Q10"/>
  <c r="N8"/>
  <c r="N27"/>
  <c r="P16"/>
  <c r="N15"/>
  <c r="Q6"/>
  <c r="P24"/>
  <c r="Q27"/>
  <c r="P26"/>
  <c r="N21"/>
  <c r="Q15"/>
  <c r="Q14"/>
  <c r="N12"/>
  <c r="Q7"/>
  <c r="N4"/>
  <c r="Q3"/>
  <c r="Q25"/>
  <c r="N19"/>
  <c r="N10"/>
  <c r="P27"/>
  <c r="Q18"/>
  <c r="Q17"/>
  <c r="Q16"/>
  <c r="Q9"/>
  <c r="Q8"/>
  <c r="N6"/>
  <c r="P25"/>
  <c r="P23"/>
  <c r="P22"/>
  <c r="P20"/>
  <c r="P18"/>
  <c r="P17"/>
  <c r="P15"/>
  <c r="P13"/>
  <c r="P11"/>
  <c r="P9"/>
  <c r="P5"/>
  <c r="Q28" l="1"/>
  <c r="P28"/>
  <c r="N28"/>
  <c r="B13" i="4" l="1"/>
  <c r="D78" i="8"/>
  <c r="D77"/>
  <c r="D76"/>
  <c r="D75"/>
  <c r="D74"/>
  <c r="B4" i="5" l="1"/>
  <c r="B14"/>
  <c r="D5" i="1"/>
  <c r="C5"/>
  <c r="B5"/>
  <c r="B9" i="7"/>
  <c r="B8"/>
  <c r="L5" i="8" l="1"/>
  <c r="L6"/>
  <c r="L40"/>
  <c r="L47"/>
  <c r="L57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N53" l="1"/>
  <c r="N41"/>
  <c r="N33"/>
  <c r="N25"/>
  <c r="N17"/>
  <c r="N9"/>
  <c r="N47"/>
  <c r="N59"/>
  <c r="N51"/>
  <c r="N43"/>
  <c r="N39"/>
  <c r="N31"/>
  <c r="N27"/>
  <c r="N23"/>
  <c r="N19"/>
  <c r="N15"/>
  <c r="N11"/>
  <c r="N7"/>
  <c r="N64"/>
  <c r="N60"/>
  <c r="N56"/>
  <c r="N48"/>
  <c r="N44"/>
  <c r="N40"/>
  <c r="N36"/>
  <c r="N32"/>
  <c r="N28"/>
  <c r="N24"/>
  <c r="N20"/>
  <c r="N16"/>
  <c r="N12"/>
  <c r="N8"/>
  <c r="N4"/>
  <c r="N63"/>
  <c r="N55"/>
  <c r="N35"/>
  <c r="N65"/>
  <c r="N61"/>
  <c r="N57"/>
  <c r="N49"/>
  <c r="N45"/>
  <c r="N37"/>
  <c r="N29"/>
  <c r="N21"/>
  <c r="N13"/>
  <c r="N5"/>
  <c r="M39"/>
  <c r="M31"/>
  <c r="M23"/>
  <c r="M11"/>
  <c r="M62"/>
  <c r="N58"/>
  <c r="N54"/>
  <c r="M50"/>
  <c r="N46"/>
  <c r="N42"/>
  <c r="N38"/>
  <c r="N34"/>
  <c r="N30"/>
  <c r="N26"/>
  <c r="M22"/>
  <c r="N18"/>
  <c r="N14"/>
  <c r="N10"/>
  <c r="N6"/>
  <c r="M36"/>
  <c r="M20"/>
  <c r="N62"/>
  <c r="N50"/>
  <c r="M57"/>
  <c r="M13"/>
  <c r="M9"/>
  <c r="M52"/>
  <c r="N22"/>
  <c r="N52"/>
  <c r="M46"/>
  <c r="M42"/>
  <c r="M58"/>
  <c r="M59"/>
  <c r="M51"/>
  <c r="M30"/>
  <c r="M61"/>
  <c r="M41"/>
  <c r="M25"/>
  <c r="M45"/>
  <c r="M38"/>
  <c r="M18"/>
  <c r="M10"/>
  <c r="M6"/>
  <c r="M54"/>
  <c r="M34"/>
  <c r="M26"/>
  <c r="M14"/>
  <c r="M29"/>
  <c r="M4"/>
  <c r="M43"/>
  <c r="M35"/>
  <c r="M15"/>
  <c r="M7"/>
  <c r="M64"/>
  <c r="M60"/>
  <c r="M56"/>
  <c r="M48"/>
  <c r="M44"/>
  <c r="M40"/>
  <c r="M32"/>
  <c r="M28"/>
  <c r="M24"/>
  <c r="M16"/>
  <c r="M12"/>
  <c r="M8"/>
  <c r="M63"/>
  <c r="M55"/>
  <c r="M27"/>
  <c r="M19"/>
  <c r="M65"/>
  <c r="M53"/>
  <c r="M49"/>
  <c r="M37"/>
  <c r="M33"/>
  <c r="M21"/>
  <c r="M17"/>
  <c r="M5"/>
  <c r="B12" i="7" l="1"/>
  <c r="B15" i="5"/>
  <c r="B9" i="6"/>
  <c r="D9" i="1" s="1"/>
  <c r="B10" i="6"/>
  <c r="B11"/>
  <c r="B12"/>
  <c r="B13"/>
  <c r="D11" i="1" s="1"/>
  <c r="B20" i="6"/>
  <c r="B8" i="4"/>
  <c r="E15" i="1"/>
  <c r="D16"/>
  <c r="B10"/>
  <c r="B23" i="6"/>
  <c r="D17" i="1" s="1"/>
  <c r="B18" i="6"/>
  <c r="D15" i="1" s="1"/>
  <c r="B16" i="4"/>
  <c r="B17" i="1" s="1"/>
  <c r="B15" i="4"/>
  <c r="B16" i="1" s="1"/>
  <c r="B18" l="1"/>
  <c r="B17" i="4"/>
  <c r="B9" i="1"/>
  <c r="B12" s="1"/>
  <c r="B14" i="6"/>
  <c r="D10" i="1"/>
  <c r="D12" s="1"/>
  <c r="D18" l="1"/>
  <c r="D19" s="1"/>
  <c r="B25" i="6"/>
  <c r="C10" i="1"/>
  <c r="H21" i="7"/>
  <c r="F21"/>
  <c r="D21"/>
  <c r="E16" i="1"/>
  <c r="E10"/>
  <c r="E9"/>
  <c r="B4" i="7"/>
  <c r="B5" s="1"/>
  <c r="H34"/>
  <c r="H35"/>
  <c r="H36"/>
  <c r="H37"/>
  <c r="H33"/>
  <c r="H27"/>
  <c r="F34"/>
  <c r="F35"/>
  <c r="F36"/>
  <c r="F37"/>
  <c r="F33"/>
  <c r="D34"/>
  <c r="D35"/>
  <c r="D36"/>
  <c r="D37"/>
  <c r="H17"/>
  <c r="F17"/>
  <c r="D17"/>
  <c r="B3" s="1"/>
  <c r="E6" i="1" s="1"/>
  <c r="B29" i="4"/>
  <c r="B44" s="1"/>
  <c r="B39"/>
  <c r="B41"/>
  <c r="B42" s="1"/>
  <c r="C15" i="1"/>
  <c r="B14" i="4"/>
  <c r="B15" i="1" s="1"/>
  <c r="B19" s="1"/>
  <c r="B16" i="5" l="1"/>
  <c r="C17" i="1" s="1"/>
  <c r="B13" i="7"/>
  <c r="E17" i="1" s="1"/>
  <c r="E11"/>
  <c r="E12" s="1"/>
  <c r="B11" i="5"/>
  <c r="C11" i="1" s="1"/>
  <c r="E18"/>
  <c r="B9" i="5"/>
  <c r="C16" i="1"/>
  <c r="B43" i="4"/>
  <c r="B17" i="5" l="1"/>
  <c r="E19" i="1"/>
  <c r="E20" s="1"/>
  <c r="C9"/>
  <c r="C12" s="1"/>
  <c r="C18"/>
  <c r="C19" s="1"/>
</calcChain>
</file>

<file path=xl/sharedStrings.xml><?xml version="1.0" encoding="utf-8"?>
<sst xmlns="http://schemas.openxmlformats.org/spreadsheetml/2006/main" count="599" uniqueCount="336">
  <si>
    <t>Technology2</t>
  </si>
  <si>
    <t>Technology3</t>
  </si>
  <si>
    <t>Technology4</t>
  </si>
  <si>
    <t>Electricity</t>
  </si>
  <si>
    <t>Annual milled rice production(t)</t>
    <phoneticPr fontId="3"/>
  </si>
  <si>
    <t>Energy generation system</t>
    <phoneticPr fontId="3"/>
  </si>
  <si>
    <t>Energy generation equipment capacity</t>
    <phoneticPr fontId="3"/>
  </si>
  <si>
    <t xml:space="preserve">Siem Reap </t>
  </si>
  <si>
    <t>Banteay Meanchey</t>
  </si>
  <si>
    <t xml:space="preserve">Kompong Cham </t>
  </si>
  <si>
    <t>Fuel</t>
  </si>
  <si>
    <t>Maintenance</t>
  </si>
  <si>
    <t>Maintenance</t>
    <phoneticPr fontId="3"/>
  </si>
  <si>
    <t>Energy/fuel</t>
    <phoneticPr fontId="3"/>
  </si>
  <si>
    <t>Diesel price</t>
    <phoneticPr fontId="3"/>
  </si>
  <si>
    <t>USD</t>
    <phoneticPr fontId="3"/>
  </si>
  <si>
    <t>unit</t>
    <phoneticPr fontId="3"/>
  </si>
  <si>
    <t xml:space="preserve">Disel consumption per milled rice </t>
    <phoneticPr fontId="3"/>
  </si>
  <si>
    <t>Annual milled rice production</t>
    <phoneticPr fontId="3"/>
  </si>
  <si>
    <t>Instalation cost</t>
    <phoneticPr fontId="3"/>
  </si>
  <si>
    <t>kW</t>
    <phoneticPr fontId="3"/>
  </si>
  <si>
    <t>t</t>
    <phoneticPr fontId="3"/>
  </si>
  <si>
    <t>Rice mill machines</t>
    <phoneticPr fontId="3"/>
  </si>
  <si>
    <t>Annual operating cost</t>
    <phoneticPr fontId="3"/>
  </si>
  <si>
    <t>Annual electricity consumption</t>
    <phoneticPr fontId="3"/>
  </si>
  <si>
    <t>Daily consumption</t>
    <phoneticPr fontId="3"/>
  </si>
  <si>
    <t>days</t>
    <phoneticPr fontId="3"/>
  </si>
  <si>
    <t>kWh</t>
    <phoneticPr fontId="3"/>
  </si>
  <si>
    <t>t/y</t>
    <phoneticPr fontId="3"/>
  </si>
  <si>
    <t>Bags</t>
  </si>
  <si>
    <t>Depreciation</t>
  </si>
  <si>
    <t>Tax</t>
  </si>
  <si>
    <t>Paddy</t>
    <phoneticPr fontId="3"/>
  </si>
  <si>
    <t>Labor</t>
    <phoneticPr fontId="3"/>
  </si>
  <si>
    <t>Rice sales</t>
    <phoneticPr fontId="3"/>
  </si>
  <si>
    <t>By-product sales</t>
    <phoneticPr fontId="3"/>
  </si>
  <si>
    <t>Gross Margin</t>
    <phoneticPr fontId="3"/>
  </si>
  <si>
    <t>Revenue</t>
    <phoneticPr fontId="3"/>
  </si>
  <si>
    <t xml:space="preserve">Capital cost </t>
    <phoneticPr fontId="3"/>
  </si>
  <si>
    <t>Paddy rice</t>
    <phoneticPr fontId="3"/>
  </si>
  <si>
    <t>White rice</t>
    <phoneticPr fontId="3"/>
  </si>
  <si>
    <t xml:space="preserve">Rice husk </t>
    <phoneticPr fontId="3"/>
  </si>
  <si>
    <t>Rice bran</t>
    <phoneticPr fontId="3"/>
  </si>
  <si>
    <t xml:space="preserve">Milled rice </t>
    <phoneticPr fontId="3"/>
  </si>
  <si>
    <t>World Bank</t>
    <phoneticPr fontId="3"/>
  </si>
  <si>
    <t>Installation cost per annual milled rice(USD/t)</t>
    <phoneticPr fontId="3"/>
  </si>
  <si>
    <t>Diesel 0.3USD/L</t>
    <phoneticPr fontId="3"/>
  </si>
  <si>
    <t>Items</t>
    <phoneticPr fontId="3"/>
  </si>
  <si>
    <t>100-130USD/t</t>
    <phoneticPr fontId="3"/>
  </si>
  <si>
    <t>5000-8000 riel/day/person 4000Riel=1USD</t>
    <phoneticPr fontId="3"/>
  </si>
  <si>
    <t>Calculated</t>
    <phoneticPr fontId="3"/>
  </si>
  <si>
    <t>own</t>
    <phoneticPr fontId="3"/>
  </si>
  <si>
    <t>Annual paddy milled(t)</t>
    <phoneticPr fontId="3"/>
  </si>
  <si>
    <t>Number of labors</t>
    <phoneticPr fontId="3"/>
  </si>
  <si>
    <t xml:space="preserve">Source:Agrifood Consulting International(2002) </t>
    <phoneticPr fontId="3"/>
  </si>
  <si>
    <t xml:space="preserve"> Source:NEDO(2011)</t>
    <phoneticPr fontId="3"/>
  </si>
  <si>
    <t>EAC(2010)</t>
    <phoneticPr fontId="3"/>
  </si>
  <si>
    <t>USD/kWh</t>
    <phoneticPr fontId="3"/>
  </si>
  <si>
    <t>Technology 2</t>
    <phoneticPr fontId="3"/>
  </si>
  <si>
    <t>Instalation cost</t>
  </si>
  <si>
    <t>Paddy dryer</t>
    <phoneticPr fontId="3"/>
  </si>
  <si>
    <t>Rice mill system</t>
    <phoneticPr fontId="3"/>
  </si>
  <si>
    <t xml:space="preserve">Energy generation </t>
    <phoneticPr fontId="3"/>
  </si>
  <si>
    <t>Steam boiler</t>
    <phoneticPr fontId="3"/>
  </si>
  <si>
    <t>Generator</t>
    <phoneticPr fontId="3"/>
  </si>
  <si>
    <t>Water system</t>
    <phoneticPr fontId="3"/>
  </si>
  <si>
    <t>Pyrolytic furnace</t>
    <phoneticPr fontId="3"/>
  </si>
  <si>
    <t>Operating cost</t>
    <phoneticPr fontId="3"/>
  </si>
  <si>
    <t>Employment cost</t>
  </si>
  <si>
    <t>Employment cost</t>
    <phoneticPr fontId="3"/>
  </si>
  <si>
    <t>Paddy dryer/labor</t>
    <phoneticPr fontId="3"/>
  </si>
  <si>
    <t>Paddy &amp; rice transfer/labor</t>
    <phoneticPr fontId="3"/>
  </si>
  <si>
    <t>Rice husk ash/labor</t>
    <phoneticPr fontId="3"/>
  </si>
  <si>
    <t>unit</t>
    <phoneticPr fontId="3"/>
  </si>
  <si>
    <t>Unit/Day</t>
    <phoneticPr fontId="3"/>
  </si>
  <si>
    <t>Maintenance cost</t>
  </si>
  <si>
    <t>Maintenance cost</t>
    <phoneticPr fontId="3"/>
  </si>
  <si>
    <t>Construction</t>
    <phoneticPr fontId="3"/>
  </si>
  <si>
    <t>Plant</t>
    <phoneticPr fontId="3"/>
  </si>
  <si>
    <t>Source:NEDO(2011)</t>
    <phoneticPr fontId="3"/>
  </si>
  <si>
    <t>JPY/USD</t>
    <phoneticPr fontId="3"/>
  </si>
  <si>
    <t>kW</t>
  </si>
  <si>
    <t>kW</t>
    <phoneticPr fontId="3"/>
  </si>
  <si>
    <t>Annual operating cost</t>
  </si>
  <si>
    <t>Annual operating cost</t>
    <phoneticPr fontId="3"/>
  </si>
  <si>
    <t>Annual electricity generation</t>
    <phoneticPr fontId="3"/>
  </si>
  <si>
    <t>Rice mill machines</t>
  </si>
  <si>
    <t>Energy generation system</t>
  </si>
  <si>
    <t>Calculated</t>
    <phoneticPr fontId="3"/>
  </si>
  <si>
    <t>t</t>
  </si>
  <si>
    <t>t</t>
    <phoneticPr fontId="3"/>
  </si>
  <si>
    <t>Annual milled rice production</t>
  </si>
  <si>
    <t>Table4.2 System of 120kW generator</t>
    <phoneticPr fontId="3"/>
  </si>
  <si>
    <t>NEDO(2011)</t>
    <phoneticPr fontId="3"/>
  </si>
  <si>
    <t>USD</t>
  </si>
  <si>
    <t>USD</t>
    <phoneticPr fontId="3"/>
  </si>
  <si>
    <t>Annual milled rice production</t>
    <phoneticPr fontId="3"/>
  </si>
  <si>
    <t>Annual electricity generation</t>
    <phoneticPr fontId="3"/>
  </si>
  <si>
    <t>KWh</t>
    <phoneticPr fontId="3"/>
  </si>
  <si>
    <t>Source</t>
    <phoneticPr fontId="3"/>
  </si>
  <si>
    <t xml:space="preserve"> Type</t>
    <phoneticPr fontId="3"/>
  </si>
  <si>
    <t>kWh</t>
    <phoneticPr fontId="3"/>
  </si>
  <si>
    <t>Source</t>
    <phoneticPr fontId="3"/>
  </si>
  <si>
    <t>Unit</t>
    <phoneticPr fontId="3"/>
  </si>
  <si>
    <t>Survey</t>
  </si>
  <si>
    <t>Water treatment and recycle system for gasifier</t>
  </si>
  <si>
    <t>Cooling Tower for recycling water for gasifier</t>
  </si>
  <si>
    <t xml:space="preserve">Silo collective rice stock </t>
  </si>
  <si>
    <t xml:space="preserve">High efficient new set of rice miller machine </t>
  </si>
  <si>
    <t xml:space="preserve"> Name </t>
  </si>
  <si>
    <t xml:space="preserve"> Province/ City </t>
  </si>
  <si>
    <t xml:space="preserve">Year of establishment </t>
  </si>
  <si>
    <t xml:space="preserve"> Price Range (US$) </t>
  </si>
  <si>
    <t xml:space="preserve">Min </t>
  </si>
  <si>
    <t xml:space="preserve">Max. </t>
  </si>
  <si>
    <t xml:space="preserve">Min. </t>
  </si>
  <si>
    <t>Max.</t>
  </si>
  <si>
    <t xml:space="preserve">Local Assembler/Supplier of Gasifier </t>
  </si>
  <si>
    <t xml:space="preserve">Nou Chanrith </t>
  </si>
  <si>
    <t xml:space="preserve">Banteay Meanchey </t>
  </si>
  <si>
    <t xml:space="preserve">Seng Khuch </t>
  </si>
  <si>
    <t xml:space="preserve">Kampong Cham </t>
  </si>
  <si>
    <t xml:space="preserve">Lim Heang </t>
  </si>
  <si>
    <t xml:space="preserve">Kandal </t>
  </si>
  <si>
    <t xml:space="preserve">Khun Sambo </t>
  </si>
  <si>
    <t xml:space="preserve"> - </t>
  </si>
  <si>
    <t xml:space="preserve">Hour Bun Khy  </t>
  </si>
  <si>
    <t xml:space="preserve">Phnom Penh  </t>
  </si>
  <si>
    <t xml:space="preserve">Importer/Supplier of Gasifier  </t>
  </si>
  <si>
    <t xml:space="preserve">SME Renewables </t>
  </si>
  <si>
    <t xml:space="preserve">Phnom Penh </t>
  </si>
  <si>
    <t>140,00</t>
  </si>
  <si>
    <t>200kW</t>
    <phoneticPr fontId="3"/>
  </si>
  <si>
    <t xml:space="preserve">Labor: 2 unskilled people </t>
  </si>
  <si>
    <t>Labor: 1 skilled person</t>
  </si>
  <si>
    <t xml:space="preserve">Other costs, including O&amp;M for gasifier system and diesel engine </t>
  </si>
  <si>
    <t>Interest rate on capital investment</t>
  </si>
  <si>
    <t>13 percent</t>
  </si>
  <si>
    <t>Employment cost</t>
    <phoneticPr fontId="3"/>
  </si>
  <si>
    <t>4100riel=1USD</t>
    <phoneticPr fontId="3"/>
  </si>
  <si>
    <t xml:space="preserve">Unskilled </t>
    <phoneticPr fontId="3"/>
  </si>
  <si>
    <t>Skilled</t>
    <phoneticPr fontId="3"/>
  </si>
  <si>
    <t>Employment</t>
  </si>
  <si>
    <t>Employment</t>
    <phoneticPr fontId="3"/>
  </si>
  <si>
    <t>Estimate 6 unskilled persons</t>
  </si>
  <si>
    <t>Estimate 6 unskilled persons</t>
    <phoneticPr fontId="3"/>
  </si>
  <si>
    <t>Operating hour</t>
  </si>
  <si>
    <t>Operating hour</t>
    <phoneticPr fontId="3"/>
  </si>
  <si>
    <t>Annual operating days</t>
  </si>
  <si>
    <t>Annual operating days</t>
    <phoneticPr fontId="3"/>
  </si>
  <si>
    <t>h</t>
  </si>
  <si>
    <t>h</t>
    <phoneticPr fontId="3"/>
  </si>
  <si>
    <t>Diesel price</t>
  </si>
  <si>
    <t>World Bank</t>
  </si>
  <si>
    <t xml:space="preserve">Disel consumption per milled rice </t>
  </si>
  <si>
    <t>L/t</t>
  </si>
  <si>
    <t>Engine capacity</t>
    <phoneticPr fontId="3"/>
  </si>
  <si>
    <t>Gasifier capacity</t>
    <phoneticPr fontId="3"/>
  </si>
  <si>
    <t>days</t>
    <phoneticPr fontId="3"/>
  </si>
  <si>
    <t>Refered to Table4.2</t>
    <phoneticPr fontId="3"/>
  </si>
  <si>
    <t>Gasifier system</t>
    <phoneticPr fontId="3"/>
  </si>
  <si>
    <t>Civil construction</t>
    <phoneticPr fontId="3"/>
  </si>
  <si>
    <t>Water system</t>
    <phoneticPr fontId="3"/>
  </si>
  <si>
    <t>Calculated</t>
    <phoneticPr fontId="3"/>
  </si>
  <si>
    <t>Related to gasifire system</t>
    <phoneticPr fontId="3"/>
  </si>
  <si>
    <t>Others</t>
    <phoneticPr fontId="3"/>
  </si>
  <si>
    <t>Installation cost</t>
    <phoneticPr fontId="3"/>
  </si>
  <si>
    <t xml:space="preserve">Electricity generation </t>
    <phoneticPr fontId="3"/>
  </si>
  <si>
    <t>Gasifier</t>
    <phoneticPr fontId="3"/>
  </si>
  <si>
    <t xml:space="preserve">2 Gasifiers 200 &amp; 250KVA with Gas Cleaning system </t>
    <phoneticPr fontId="3"/>
  </si>
  <si>
    <t xml:space="preserve">Duel fuel Generators </t>
    <phoneticPr fontId="3"/>
  </si>
  <si>
    <t xml:space="preserve">750 kVA </t>
    <phoneticPr fontId="3"/>
  </si>
  <si>
    <t>Construction</t>
    <phoneticPr fontId="3"/>
  </si>
  <si>
    <t>Rice mill machines</t>
    <phoneticPr fontId="3"/>
  </si>
  <si>
    <t>Electrical pneumatic rubber roller husker with a vibrating cleaning</t>
    <phoneticPr fontId="3"/>
  </si>
  <si>
    <t>Operating cost</t>
    <phoneticPr fontId="3"/>
  </si>
  <si>
    <t>Employment cost</t>
    <phoneticPr fontId="3"/>
  </si>
  <si>
    <t>Rice husk requirements</t>
    <phoneticPr fontId="3"/>
  </si>
  <si>
    <t>2 kg/kWh</t>
    <phoneticPr fontId="3"/>
  </si>
  <si>
    <t>Source: MoE(2010), EIC(2009)</t>
    <phoneticPr fontId="3"/>
  </si>
  <si>
    <t>Hearing to SME renewable</t>
    <phoneticPr fontId="3"/>
  </si>
  <si>
    <t xml:space="preserve">SME Renewables's 200kW gasifire: 2-2.5t/h processing. 150kW:1-1.5t/h </t>
    <phoneticPr fontId="3"/>
  </si>
  <si>
    <t>SME renewable</t>
    <phoneticPr fontId="3"/>
  </si>
  <si>
    <t>Annual milled rice production(t)</t>
    <phoneticPr fontId="3"/>
  </si>
  <si>
    <t>Paddy Dryer</t>
    <phoneticPr fontId="3"/>
  </si>
  <si>
    <t>Table 3.2</t>
    <phoneticPr fontId="3"/>
  </si>
  <si>
    <t>Unit</t>
    <phoneticPr fontId="3"/>
  </si>
  <si>
    <t>t-CO2/t-rice</t>
  </si>
  <si>
    <t>hours</t>
    <phoneticPr fontId="3"/>
  </si>
  <si>
    <t>Annual operating days</t>
    <phoneticPr fontId="3"/>
  </si>
  <si>
    <t>Operating hours</t>
    <phoneticPr fontId="3"/>
  </si>
  <si>
    <t>Estimated</t>
    <phoneticPr fontId="3"/>
  </si>
  <si>
    <t>Construction</t>
    <phoneticPr fontId="3"/>
  </si>
  <si>
    <t>Electricity</t>
    <phoneticPr fontId="3"/>
  </si>
  <si>
    <t>Included</t>
    <phoneticPr fontId="3"/>
  </si>
  <si>
    <t>Electricity generator capacity</t>
    <phoneticPr fontId="3"/>
  </si>
  <si>
    <t>Generator:120kW</t>
    <phoneticPr fontId="3"/>
  </si>
  <si>
    <t>Engine: 250kW
Gasifier: 200kW</t>
    <phoneticPr fontId="3"/>
  </si>
  <si>
    <t>-</t>
    <phoneticPr fontId="3"/>
  </si>
  <si>
    <t>-</t>
    <phoneticPr fontId="3"/>
  </si>
  <si>
    <t>Estimate 1 skilled person and 2 unskilled persons</t>
    <phoneticPr fontId="3"/>
  </si>
  <si>
    <t>Interest</t>
    <phoneticPr fontId="3"/>
  </si>
  <si>
    <t xml:space="preserve">Rice miller use second hand engine. 264kW of diesel engin costs 10,000USD. Diesel engin is modified to dual mode. </t>
    <phoneticPr fontId="3"/>
  </si>
  <si>
    <t xml:space="preserve">Double of figure of hearing to SME renewable  </t>
    <phoneticPr fontId="3"/>
  </si>
  <si>
    <t>70% of initial cost of gasification system for loan and 5 years for payment period.12% interest</t>
    <phoneticPr fontId="3"/>
  </si>
  <si>
    <t>Interest</t>
    <phoneticPr fontId="3"/>
  </si>
  <si>
    <t>205-230USD/t</t>
    <phoneticPr fontId="3"/>
  </si>
  <si>
    <t>Calculated: Refered with Table 1.3</t>
    <phoneticPr fontId="3"/>
  </si>
  <si>
    <t>Unit range from cases/other source</t>
    <phoneticPr fontId="3"/>
  </si>
  <si>
    <t xml:space="preserve">Diesel engine: 250kW </t>
    <phoneticPr fontId="3"/>
  </si>
  <si>
    <t>Civil construction</t>
    <phoneticPr fontId="3"/>
  </si>
  <si>
    <t>Civil construction</t>
    <phoneticPr fontId="3"/>
  </si>
  <si>
    <t xml:space="preserve"> Table4.2 System of 120kW generator</t>
    <phoneticPr fontId="3"/>
  </si>
  <si>
    <t xml:space="preserve">Estimated:Half of the figure in Table4.2 System of 120kW generator </t>
    <phoneticPr fontId="3"/>
  </si>
  <si>
    <t>Location</t>
  </si>
  <si>
    <t>Kraties</t>
  </si>
  <si>
    <t>Prey Veng</t>
  </si>
  <si>
    <t>Kampong Speu</t>
  </si>
  <si>
    <t>Takeo</t>
  </si>
  <si>
    <t>Svay Reang</t>
  </si>
  <si>
    <t>Pursat</t>
  </si>
  <si>
    <t>Kampot</t>
  </si>
  <si>
    <t>Kandal</t>
  </si>
  <si>
    <t>Type of technology</t>
    <phoneticPr fontId="3"/>
  </si>
  <si>
    <t>Technology 1</t>
    <phoneticPr fontId="3"/>
  </si>
  <si>
    <t>Technology 3</t>
    <phoneticPr fontId="3"/>
  </si>
  <si>
    <t>No.</t>
    <phoneticPr fontId="3"/>
  </si>
  <si>
    <t>Capacity of dynamo
(kW)</t>
    <phoneticPr fontId="3"/>
  </si>
  <si>
    <t xml:space="preserve">Capacity of diesel engine
(kW) </t>
    <phoneticPr fontId="3"/>
  </si>
  <si>
    <t xml:space="preserve">Density of diesel </t>
    <phoneticPr fontId="3"/>
  </si>
  <si>
    <t>kg/L</t>
    <phoneticPr fontId="3"/>
  </si>
  <si>
    <t>kg-CO2per kg of diesel</t>
    <phoneticPr fontId="3"/>
  </si>
  <si>
    <t>t/MWh</t>
    <phoneticPr fontId="3"/>
  </si>
  <si>
    <t>Annual electricity consumptions (MWh)</t>
    <phoneticPr fontId="3"/>
  </si>
  <si>
    <t>Carbon intensity per production (t-CO2/t-rice)</t>
    <phoneticPr fontId="3"/>
  </si>
  <si>
    <t>Total/Average</t>
    <phoneticPr fontId="3"/>
  </si>
  <si>
    <t>Emission Factor of rural electricity entrepreneur</t>
    <phoneticPr fontId="3"/>
  </si>
  <si>
    <r>
      <t>CO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 emission factor of diesel </t>
    </r>
    <phoneticPr fontId="3"/>
  </si>
  <si>
    <t>Estimated: Capital cost in Table 1.3 times 5 minus cost of engine</t>
    <phoneticPr fontId="3"/>
  </si>
  <si>
    <t>Estimated: maintenance cost in Table 1.3 times 5</t>
    <phoneticPr fontId="3"/>
  </si>
  <si>
    <t>Capital cost in Table 1.3 times 5 minus cost of diesel engine</t>
    <phoneticPr fontId="3"/>
  </si>
  <si>
    <t>Capital cost in Table 1.3 times 5</t>
    <phoneticPr fontId="3"/>
  </si>
  <si>
    <t>USD</t>
    <phoneticPr fontId="3"/>
  </si>
  <si>
    <t>USD</t>
    <phoneticPr fontId="3"/>
  </si>
  <si>
    <t xml:space="preserve">Capacity Range (kW) </t>
    <phoneticPr fontId="3"/>
  </si>
  <si>
    <t>System unit</t>
    <phoneticPr fontId="3"/>
  </si>
  <si>
    <t>1. Following costs are not included;</t>
  </si>
  <si>
    <t xml:space="preserve"> Initial cost: dryer, land and others not related to facility investment</t>
  </si>
  <si>
    <t xml:space="preserve">Operating cost: sales of cost (paddy purchase, bags, transportation etc.) and others not related to milling process and facility investment) </t>
  </si>
  <si>
    <t>Rice mill machines operator</t>
    <phoneticPr fontId="3"/>
  </si>
  <si>
    <t>Generator operator</t>
    <phoneticPr fontId="3"/>
  </si>
  <si>
    <t>Diesel consumption per production (l/t)</t>
    <phoneticPr fontId="3"/>
  </si>
  <si>
    <t>Technology 1
0.0542t-CO2/t-rice</t>
    <phoneticPr fontId="3"/>
  </si>
  <si>
    <t>Technology 4
0t-CO2/t-rice</t>
    <phoneticPr fontId="3"/>
  </si>
  <si>
    <t>Technology 3
0.0162t-CO2/t-rice</t>
    <phoneticPr fontId="3"/>
  </si>
  <si>
    <t>Technology 2
0.0360t-CO2/t-rice</t>
    <phoneticPr fontId="3"/>
  </si>
  <si>
    <t>Technology</t>
    <phoneticPr fontId="3"/>
  </si>
  <si>
    <t>Technology1</t>
    <phoneticPr fontId="3"/>
  </si>
  <si>
    <t xml:space="preserve">Power-driven by a diesel engine </t>
    <phoneticPr fontId="3"/>
  </si>
  <si>
    <t>Electricity supplied from REE</t>
    <phoneticPr fontId="3"/>
  </si>
  <si>
    <t xml:space="preserve">Power-driven by a dual mode engine and gasification with rice husk </t>
    <phoneticPr fontId="3"/>
  </si>
  <si>
    <t>Electricity generated by steam turbine with combustion of rice husk</t>
    <phoneticPr fontId="3"/>
  </si>
  <si>
    <t>Carbon intensity
CO2 emissions equivalent per one tonne of milled rice production</t>
    <phoneticPr fontId="3"/>
  </si>
  <si>
    <t>Annual milled rice production</t>
    <phoneticPr fontId="3"/>
  </si>
  <si>
    <t>Initial cost total</t>
    <phoneticPr fontId="3"/>
  </si>
  <si>
    <t>Annual operating cost</t>
    <phoneticPr fontId="3"/>
  </si>
  <si>
    <t>Annual operating cost total</t>
    <phoneticPr fontId="3"/>
  </si>
  <si>
    <t>Energy generation equipment capacity</t>
    <phoneticPr fontId="3"/>
  </si>
  <si>
    <t>2. Finance cost: 70% of initial cost for loan, 10 years for payment period, 13% interests</t>
    <phoneticPr fontId="3"/>
  </si>
  <si>
    <t>Dual mode modified engine</t>
    <phoneticPr fontId="3"/>
  </si>
  <si>
    <t>l/t</t>
    <phoneticPr fontId="3"/>
  </si>
  <si>
    <t>Diesel</t>
    <phoneticPr fontId="3"/>
  </si>
  <si>
    <t>Diesel engine</t>
    <phoneticPr fontId="3"/>
  </si>
  <si>
    <t>Diesel</t>
    <phoneticPr fontId="3"/>
  </si>
  <si>
    <t>Estimated: 70% of initial cost for loan, 10 years for payment period, 13% of interests</t>
    <phoneticPr fontId="3"/>
  </si>
  <si>
    <t>Electricity/fuel</t>
    <phoneticPr fontId="3"/>
  </si>
  <si>
    <t>Operating days</t>
    <phoneticPr fontId="3"/>
  </si>
  <si>
    <t>Operating hours</t>
    <phoneticPr fontId="3"/>
  </si>
  <si>
    <t>Table 4.2 Cost of electricity generation system and electricity controlled rice mill system (JPY)</t>
    <phoneticPr fontId="3"/>
  </si>
  <si>
    <t>Table 4.1 Cost summery of Technology 4</t>
    <phoneticPr fontId="3"/>
  </si>
  <si>
    <t>Table 3.1 Cost summery of Technology 3</t>
    <phoneticPr fontId="3"/>
  </si>
  <si>
    <t>Table 3.2</t>
    <phoneticPr fontId="3"/>
  </si>
  <si>
    <t>Table3.3</t>
    <phoneticPr fontId="3"/>
  </si>
  <si>
    <t>Table 2.1 Cost summery of Technology 2</t>
    <phoneticPr fontId="3"/>
  </si>
  <si>
    <t>Table 1.1 Cost summery of Technology 1</t>
    <phoneticPr fontId="3"/>
  </si>
  <si>
    <t>Table1.2 Paddy rice weight component in Cambodia</t>
    <phoneticPr fontId="3"/>
  </si>
  <si>
    <t>Table 1.4 Number of labors</t>
    <phoneticPr fontId="3"/>
  </si>
  <si>
    <t>Table 1.5 Estimation of employment cost per day(USD)</t>
    <phoneticPr fontId="3"/>
  </si>
  <si>
    <t>Unit</t>
    <phoneticPr fontId="3"/>
  </si>
  <si>
    <t>Source</t>
    <phoneticPr fontId="3"/>
  </si>
  <si>
    <t>Table 1.3 Average initial cost and operating cost of rice miller in Cambodia</t>
    <phoneticPr fontId="3"/>
  </si>
  <si>
    <t>Prosessing capacity (Quantity of input of paddy rice)</t>
    <phoneticPr fontId="3"/>
  </si>
  <si>
    <t>kWh</t>
    <phoneticPr fontId="3"/>
  </si>
  <si>
    <t>Battambang</t>
  </si>
  <si>
    <t>25-30</t>
  </si>
  <si>
    <t>Capacity of Gasifier (kW)</t>
    <phoneticPr fontId="3"/>
  </si>
  <si>
    <t>Kompong Cham</t>
    <phoneticPr fontId="3"/>
  </si>
  <si>
    <t>200+250</t>
    <phoneticPr fontId="3"/>
  </si>
  <si>
    <t>Annual operating days</t>
    <phoneticPr fontId="3"/>
  </si>
  <si>
    <t>500+250+75+100</t>
    <phoneticPr fontId="3"/>
  </si>
  <si>
    <t>Deisel replacement rate</t>
    <phoneticPr fontId="3"/>
  </si>
  <si>
    <t>Qt. of milled rice production/day (t)</t>
    <phoneticPr fontId="3"/>
  </si>
  <si>
    <t xml:space="preserve"> Qt. of electricity consumption/day (kWh)</t>
    <phoneticPr fontId="3"/>
  </si>
  <si>
    <t>Capacity of dynamo (kW)</t>
    <phoneticPr fontId="3"/>
  </si>
  <si>
    <t>Qt. of diesel consumption/day(l)</t>
    <phoneticPr fontId="3"/>
  </si>
  <si>
    <t>Qt. of rice husk consumption/day(t)</t>
    <phoneticPr fontId="3"/>
  </si>
  <si>
    <t>300+400</t>
    <phoneticPr fontId="3"/>
  </si>
  <si>
    <t>Average</t>
    <phoneticPr fontId="3"/>
  </si>
  <si>
    <t>Location of rice miller</t>
    <phoneticPr fontId="3"/>
  </si>
  <si>
    <t xml:space="preserve">Capacity of engine(kW) </t>
    <phoneticPr fontId="3"/>
  </si>
  <si>
    <t>Annual diesel consumptions(l)</t>
    <phoneticPr fontId="3"/>
  </si>
  <si>
    <t>Qt. of diesel consumption/day before installing gasifier(l)</t>
    <phoneticPr fontId="3"/>
  </si>
  <si>
    <t>Diesel consumption per production before installing gasifier (l/t)</t>
    <phoneticPr fontId="3"/>
  </si>
  <si>
    <t>Diesel consumption per production (l/t)</t>
    <phoneticPr fontId="3"/>
  </si>
  <si>
    <t>Annnual milled rice production (t)</t>
    <phoneticPr fontId="3"/>
  </si>
  <si>
    <t>Annual milled rice total</t>
    <phoneticPr fontId="3"/>
  </si>
  <si>
    <t>% of annual milled rice</t>
    <phoneticPr fontId="3"/>
  </si>
  <si>
    <t>Number of rice miller</t>
    <phoneticPr fontId="3"/>
  </si>
  <si>
    <t>Table 6 Cost assumption of the technologies</t>
    <phoneticPr fontId="3"/>
  </si>
  <si>
    <t>NCPO</t>
    <phoneticPr fontId="3"/>
  </si>
  <si>
    <t>Source:NCPO(2012), IFC(2011),SME renewable</t>
    <phoneticPr fontId="3"/>
  </si>
  <si>
    <t>Table 7.2 Summery of sampling survay 2</t>
    <phoneticPr fontId="3"/>
  </si>
  <si>
    <t xml:space="preserve">Table 7.1 List of samples in the sampling survay </t>
    <phoneticPr fontId="3"/>
  </si>
  <si>
    <t>Table 8 List of rice millers installing gasification system</t>
    <phoneticPr fontId="3"/>
  </si>
  <si>
    <t>Standardized baseline of energy use in rice mill sector of Cambodia</t>
    <phoneticPr fontId="3"/>
  </si>
  <si>
    <t>Proposal:</t>
    <phoneticPr fontId="3"/>
  </si>
  <si>
    <t xml:space="preserve">Version: </t>
    <phoneticPr fontId="3"/>
  </si>
  <si>
    <t>Date:</t>
    <phoneticPr fontId="3"/>
  </si>
  <si>
    <t>Initial cost per unit of milled rice</t>
    <phoneticPr fontId="3"/>
  </si>
  <si>
    <t>Annual operating cost per unit of milled rice</t>
    <phoneticPr fontId="3"/>
  </si>
  <si>
    <t>USD/t</t>
    <phoneticPr fontId="3"/>
  </si>
  <si>
    <t xml:space="preserve">Initial cost </t>
    <phoneticPr fontId="3"/>
  </si>
  <si>
    <t>Electricity consumption :90kWh/h</t>
    <phoneticPr fontId="3"/>
  </si>
  <si>
    <t>Interview with rice millers of a client of SME renewable or members of rice miller associations in 2012</t>
    <phoneticPr fontId="3"/>
  </si>
  <si>
    <t>Annual deisel consumptions before installing gasifier(l)</t>
    <phoneticPr fontId="3"/>
  </si>
  <si>
    <t>Calculation sheet</t>
    <phoneticPr fontId="3"/>
  </si>
</sst>
</file>

<file path=xl/styles.xml><?xml version="1.0" encoding="utf-8"?>
<styleSheet xmlns="http://schemas.openxmlformats.org/spreadsheetml/2006/main">
  <numFmts count="8">
    <numFmt numFmtId="176" formatCode="#,##0.0;[Red]\-#,##0.0"/>
    <numFmt numFmtId="177" formatCode="0.0000_ "/>
    <numFmt numFmtId="178" formatCode="0.0_ "/>
    <numFmt numFmtId="179" formatCode="0_ "/>
    <numFmt numFmtId="180" formatCode="0;_㤄"/>
    <numFmt numFmtId="181" formatCode="#,##0.0000;[Red]\-#,##0.0000"/>
    <numFmt numFmtId="182" formatCode="0.00_ "/>
    <numFmt numFmtId="183" formatCode="0.0%"/>
  </numFmts>
  <fonts count="24">
    <font>
      <sz val="11"/>
      <color theme="1"/>
      <name val="Arial"/>
      <family val="2"/>
      <charset val="128"/>
    </font>
    <font>
      <sz val="11"/>
      <color theme="1"/>
      <name val="Arial"/>
      <family val="2"/>
      <charset val="128"/>
    </font>
    <font>
      <sz val="11"/>
      <color rgb="FFFF0000"/>
      <name val="Arial"/>
      <family val="2"/>
      <charset val="128"/>
    </font>
    <font>
      <sz val="6"/>
      <name val="Arial"/>
      <family val="2"/>
      <charset val="128"/>
    </font>
    <font>
      <sz val="11"/>
      <color theme="1"/>
      <name val="Arial"/>
      <family val="2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Arial"/>
      <family val="2"/>
      <charset val="128"/>
    </font>
    <font>
      <b/>
      <sz val="13"/>
      <color theme="3"/>
      <name val="Arial"/>
      <family val="2"/>
      <charset val="128"/>
    </font>
    <font>
      <b/>
      <sz val="11"/>
      <color theme="3"/>
      <name val="Arial"/>
      <family val="2"/>
      <charset val="128"/>
    </font>
    <font>
      <sz val="11"/>
      <color rgb="FF006100"/>
      <name val="Arial"/>
      <family val="2"/>
      <charset val="128"/>
    </font>
    <font>
      <sz val="11"/>
      <color rgb="FF9C0006"/>
      <name val="Arial"/>
      <family val="2"/>
      <charset val="128"/>
    </font>
    <font>
      <sz val="11"/>
      <color rgb="FF9C6500"/>
      <name val="Arial"/>
      <family val="2"/>
      <charset val="128"/>
    </font>
    <font>
      <sz val="11"/>
      <color rgb="FF3F3F76"/>
      <name val="Arial"/>
      <family val="2"/>
      <charset val="128"/>
    </font>
    <font>
      <b/>
      <sz val="11"/>
      <color rgb="FF3F3F3F"/>
      <name val="Arial"/>
      <family val="2"/>
      <charset val="128"/>
    </font>
    <font>
      <b/>
      <sz val="11"/>
      <color rgb="FFFA7D00"/>
      <name val="Arial"/>
      <family val="2"/>
      <charset val="128"/>
    </font>
    <font>
      <sz val="11"/>
      <color rgb="FFFA7D00"/>
      <name val="Arial"/>
      <family val="2"/>
      <charset val="128"/>
    </font>
    <font>
      <b/>
      <sz val="11"/>
      <color theme="0"/>
      <name val="Arial"/>
      <family val="2"/>
      <charset val="128"/>
    </font>
    <font>
      <i/>
      <sz val="11"/>
      <color rgb="FF7F7F7F"/>
      <name val="Arial"/>
      <family val="2"/>
      <charset val="128"/>
    </font>
    <font>
      <b/>
      <sz val="11"/>
      <color theme="1"/>
      <name val="Arial"/>
      <family val="2"/>
      <charset val="128"/>
    </font>
    <font>
      <sz val="11"/>
      <color theme="0"/>
      <name val="Arial"/>
      <family val="2"/>
      <charset val="128"/>
    </font>
    <font>
      <sz val="11"/>
      <color rgb="FF000000"/>
      <name val="Arial"/>
      <family val="2"/>
    </font>
    <font>
      <vertAlign val="subscript"/>
      <sz val="11"/>
      <color rgb="FF000000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45">
    <xf numFmtId="0" fontId="0" fillId="0" borderId="0">
      <alignment vertical="center"/>
    </xf>
    <xf numFmtId="40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8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0" fillId="0" borderId="0" xfId="1" applyNumberFormat="1" applyFont="1">
      <alignment vertical="center"/>
    </xf>
    <xf numFmtId="0" fontId="0" fillId="0" borderId="0" xfId="0" applyAlignment="1">
      <alignment horizontal="right" vertical="center" wrapText="1"/>
    </xf>
    <xf numFmtId="38" fontId="4" fillId="0" borderId="2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38" fontId="0" fillId="0" borderId="0" xfId="2" applyFont="1">
      <alignment vertical="center"/>
    </xf>
    <xf numFmtId="0" fontId="0" fillId="0" borderId="0" xfId="0" applyAlignment="1">
      <alignment horizontal="right" vertical="center"/>
    </xf>
    <xf numFmtId="38" fontId="0" fillId="0" borderId="0" xfId="2" applyFont="1" applyAlignment="1">
      <alignment vertical="center" wrapText="1"/>
    </xf>
    <xf numFmtId="0" fontId="0" fillId="0" borderId="2" xfId="0" applyBorder="1">
      <alignment vertical="center"/>
    </xf>
    <xf numFmtId="38" fontId="0" fillId="0" borderId="2" xfId="2" applyFont="1" applyBorder="1">
      <alignment vertical="center"/>
    </xf>
    <xf numFmtId="0" fontId="0" fillId="0" borderId="2" xfId="0" applyBorder="1" applyAlignment="1">
      <alignment horizontal="right" vertical="center"/>
    </xf>
    <xf numFmtId="9" fontId="0" fillId="0" borderId="2" xfId="0" applyNumberFormat="1" applyBorder="1">
      <alignment vertical="center"/>
    </xf>
    <xf numFmtId="10" fontId="0" fillId="0" borderId="2" xfId="0" applyNumberFormat="1" applyBorder="1">
      <alignment vertical="center"/>
    </xf>
    <xf numFmtId="0" fontId="0" fillId="0" borderId="0" xfId="0" applyBorder="1">
      <alignment vertical="center"/>
    </xf>
    <xf numFmtId="0" fontId="0" fillId="0" borderId="2" xfId="0" applyBorder="1" applyAlignment="1">
      <alignment vertical="center" wrapText="1"/>
    </xf>
    <xf numFmtId="14" fontId="0" fillId="0" borderId="0" xfId="0" applyNumberFormat="1">
      <alignment vertical="center"/>
    </xf>
    <xf numFmtId="0" fontId="4" fillId="0" borderId="0" xfId="0" applyFont="1">
      <alignment vertical="center"/>
    </xf>
    <xf numFmtId="38" fontId="0" fillId="0" borderId="2" xfId="1" applyNumberFormat="1" applyFont="1" applyBorder="1">
      <alignment vertical="center"/>
    </xf>
    <xf numFmtId="0" fontId="4" fillId="0" borderId="2" xfId="0" applyFont="1" applyBorder="1">
      <alignment vertical="center"/>
    </xf>
    <xf numFmtId="0" fontId="0" fillId="0" borderId="2" xfId="0" applyFill="1" applyBorder="1">
      <alignment vertical="center"/>
    </xf>
    <xf numFmtId="38" fontId="0" fillId="0" borderId="0" xfId="0" applyNumberFormat="1">
      <alignment vertical="center"/>
    </xf>
    <xf numFmtId="0" fontId="0" fillId="0" borderId="2" xfId="0" applyBorder="1" applyAlignment="1">
      <alignment horizontal="right" vertical="center" wrapText="1"/>
    </xf>
    <xf numFmtId="38" fontId="0" fillId="0" borderId="13" xfId="2" applyFont="1" applyBorder="1">
      <alignment vertical="center"/>
    </xf>
    <xf numFmtId="38" fontId="0" fillId="0" borderId="2" xfId="1" applyNumberFormat="1" applyFont="1" applyBorder="1" applyAlignment="1">
      <alignment vertical="center" wrapText="1"/>
    </xf>
    <xf numFmtId="38" fontId="0" fillId="0" borderId="2" xfId="0" applyNumberFormat="1" applyBorder="1" applyAlignment="1">
      <alignment vertical="center" wrapText="1"/>
    </xf>
    <xf numFmtId="38" fontId="0" fillId="0" borderId="2" xfId="2" applyFont="1" applyBorder="1" applyAlignment="1">
      <alignment vertical="center" wrapText="1"/>
    </xf>
    <xf numFmtId="38" fontId="0" fillId="0" borderId="2" xfId="2" applyFont="1" applyBorder="1" applyAlignment="1">
      <alignment horizontal="right" vertical="center" wrapText="1"/>
    </xf>
    <xf numFmtId="3" fontId="0" fillId="0" borderId="2" xfId="0" applyNumberForma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38" fontId="4" fillId="0" borderId="0" xfId="2" applyFont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38" fontId="4" fillId="0" borderId="2" xfId="2" applyFont="1" applyBorder="1">
      <alignment vertical="center"/>
    </xf>
    <xf numFmtId="0" fontId="4" fillId="0" borderId="2" xfId="0" applyFont="1" applyBorder="1" applyAlignment="1">
      <alignment vertical="center" wrapText="1"/>
    </xf>
    <xf numFmtId="3" fontId="4" fillId="0" borderId="2" xfId="0" applyNumberFormat="1" applyFont="1" applyBorder="1">
      <alignment vertical="center"/>
    </xf>
    <xf numFmtId="0" fontId="4" fillId="0" borderId="2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3" fontId="4" fillId="0" borderId="2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3" fontId="4" fillId="0" borderId="2" xfId="0" applyNumberFormat="1" applyFont="1" applyBorder="1" applyAlignment="1">
      <alignment horizontal="right" vertical="center" wrapText="1"/>
    </xf>
    <xf numFmtId="0" fontId="4" fillId="0" borderId="1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38" fontId="4" fillId="0" borderId="2" xfId="2" applyFont="1" applyBorder="1" applyAlignment="1">
      <alignment vertical="center" wrapText="1"/>
    </xf>
    <xf numFmtId="38" fontId="0" fillId="0" borderId="3" xfId="2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38" fontId="4" fillId="0" borderId="2" xfId="0" applyNumberFormat="1" applyFont="1" applyBorder="1" applyAlignment="1">
      <alignment vertical="center" wrapText="1"/>
    </xf>
    <xf numFmtId="38" fontId="4" fillId="0" borderId="0" xfId="0" applyNumberFormat="1" applyFont="1">
      <alignment vertical="center"/>
    </xf>
    <xf numFmtId="9" fontId="0" fillId="0" borderId="0" xfId="44" applyFont="1">
      <alignment vertical="center"/>
    </xf>
    <xf numFmtId="176" fontId="0" fillId="0" borderId="2" xfId="2" applyNumberFormat="1" applyFont="1" applyBorder="1" applyAlignment="1">
      <alignment vertical="center" wrapText="1"/>
    </xf>
    <xf numFmtId="40" fontId="0" fillId="0" borderId="2" xfId="2" applyNumberFormat="1" applyFont="1" applyBorder="1" applyAlignment="1">
      <alignment vertical="center" wrapText="1"/>
    </xf>
    <xf numFmtId="176" fontId="0" fillId="0" borderId="0" xfId="2" applyNumberFormat="1" applyFont="1">
      <alignment vertical="center"/>
    </xf>
    <xf numFmtId="176" fontId="0" fillId="0" borderId="2" xfId="2" applyNumberFormat="1" applyFont="1" applyBorder="1">
      <alignment vertical="center"/>
    </xf>
    <xf numFmtId="178" fontId="0" fillId="0" borderId="2" xfId="0" applyNumberFormat="1" applyBorder="1">
      <alignment vertical="center"/>
    </xf>
    <xf numFmtId="179" fontId="0" fillId="0" borderId="2" xfId="0" applyNumberFormat="1" applyBorder="1">
      <alignment vertical="center"/>
    </xf>
    <xf numFmtId="180" fontId="0" fillId="0" borderId="2" xfId="0" applyNumberFormat="1" applyBorder="1">
      <alignment vertical="center"/>
    </xf>
    <xf numFmtId="0" fontId="0" fillId="0" borderId="0" xfId="0" applyNumberFormat="1">
      <alignment vertical="center"/>
    </xf>
    <xf numFmtId="0" fontId="0" fillId="0" borderId="0" xfId="0" applyNumberFormat="1" applyFill="1">
      <alignment vertical="center"/>
    </xf>
    <xf numFmtId="0" fontId="18" fillId="0" borderId="17" xfId="0" applyNumberFormat="1" applyFont="1" applyFill="1" applyBorder="1">
      <alignment vertical="center"/>
    </xf>
    <xf numFmtId="178" fontId="0" fillId="0" borderId="0" xfId="0" applyNumberFormat="1">
      <alignment vertical="center"/>
    </xf>
    <xf numFmtId="177" fontId="0" fillId="0" borderId="2" xfId="0" applyNumberFormat="1" applyBorder="1" applyAlignment="1">
      <alignment horizontal="right" vertical="center"/>
    </xf>
    <xf numFmtId="181" fontId="0" fillId="0" borderId="2" xfId="2" applyNumberFormat="1" applyFont="1" applyBorder="1" applyAlignment="1">
      <alignment horizontal="right" vertical="center"/>
    </xf>
    <xf numFmtId="0" fontId="0" fillId="0" borderId="0" xfId="0" applyFill="1">
      <alignment vertical="center"/>
    </xf>
    <xf numFmtId="0" fontId="20" fillId="0" borderId="0" xfId="0" applyFont="1" applyAlignment="1">
      <alignment vertical="center"/>
    </xf>
    <xf numFmtId="0" fontId="4" fillId="0" borderId="0" xfId="0" applyFont="1" applyFill="1" applyAlignment="1">
      <alignment vertical="center" wrapText="1"/>
    </xf>
    <xf numFmtId="38" fontId="4" fillId="0" borderId="0" xfId="2" applyFont="1" applyFill="1" applyAlignment="1">
      <alignment vertical="center" wrapText="1"/>
    </xf>
    <xf numFmtId="38" fontId="0" fillId="0" borderId="0" xfId="2" applyFont="1" applyBorder="1">
      <alignment vertical="center"/>
    </xf>
    <xf numFmtId="9" fontId="0" fillId="0" borderId="0" xfId="0" applyNumberFormat="1" applyBorder="1">
      <alignment vertical="center"/>
    </xf>
    <xf numFmtId="0" fontId="4" fillId="0" borderId="0" xfId="0" applyFont="1" applyFill="1" applyBorder="1" applyAlignment="1">
      <alignment vertical="center" wrapText="1"/>
    </xf>
    <xf numFmtId="177" fontId="0" fillId="0" borderId="2" xfId="0" applyNumberFormat="1" applyBorder="1" applyAlignment="1">
      <alignment vertical="center" wrapText="1"/>
    </xf>
    <xf numFmtId="3" fontId="0" fillId="0" borderId="2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2" xfId="1" applyNumberFormat="1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2" xfId="0" applyNumberFormat="1" applyFont="1" applyFill="1" applyBorder="1">
      <alignment vertical="center"/>
    </xf>
    <xf numFmtId="38" fontId="4" fillId="0" borderId="2" xfId="2" applyFont="1" applyFill="1" applyBorder="1">
      <alignment vertical="center"/>
    </xf>
    <xf numFmtId="178" fontId="4" fillId="0" borderId="2" xfId="0" applyNumberFormat="1" applyFont="1" applyFill="1" applyBorder="1">
      <alignment vertical="center"/>
    </xf>
    <xf numFmtId="177" fontId="0" fillId="0" borderId="2" xfId="0" applyNumberFormat="1" applyBorder="1">
      <alignment vertical="center"/>
    </xf>
    <xf numFmtId="38" fontId="0" fillId="0" borderId="2" xfId="2" applyFont="1" applyBorder="1" applyAlignment="1">
      <alignment horizontal="center" vertical="center"/>
    </xf>
    <xf numFmtId="0" fontId="22" fillId="0" borderId="0" xfId="0" applyFont="1">
      <alignment vertical="center"/>
    </xf>
    <xf numFmtId="182" fontId="0" fillId="0" borderId="0" xfId="0" applyNumberFormat="1" applyAlignment="1">
      <alignment vertical="center" wrapText="1"/>
    </xf>
    <xf numFmtId="183" fontId="4" fillId="0" borderId="2" xfId="44" applyNumberFormat="1" applyFont="1" applyFill="1" applyBorder="1">
      <alignment vertical="center"/>
    </xf>
    <xf numFmtId="10" fontId="0" fillId="0" borderId="0" xfId="0" applyNumberFormat="1">
      <alignment vertical="center"/>
    </xf>
    <xf numFmtId="0" fontId="4" fillId="0" borderId="0" xfId="0" applyFont="1" applyFill="1" applyBorder="1" applyAlignment="1">
      <alignment horizontal="left" vertical="center"/>
    </xf>
    <xf numFmtId="38" fontId="4" fillId="0" borderId="0" xfId="2" applyFont="1" applyFill="1" applyBorder="1">
      <alignment vertical="center"/>
    </xf>
    <xf numFmtId="178" fontId="4" fillId="0" borderId="0" xfId="0" applyNumberFormat="1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23" fillId="0" borderId="2" xfId="0" applyFont="1" applyBorder="1" applyAlignment="1">
      <alignment vertical="center" wrapText="1"/>
    </xf>
    <xf numFmtId="0" fontId="23" fillId="0" borderId="0" xfId="0" applyFont="1" applyFill="1" applyBorder="1" applyAlignment="1">
      <alignment horizontal="left" vertical="center"/>
    </xf>
    <xf numFmtId="0" fontId="23" fillId="0" borderId="0" xfId="0" applyFont="1">
      <alignment vertical="center"/>
    </xf>
    <xf numFmtId="0" fontId="23" fillId="0" borderId="0" xfId="0" applyFont="1" applyFill="1" applyBorder="1">
      <alignment vertical="center"/>
    </xf>
    <xf numFmtId="9" fontId="0" fillId="0" borderId="2" xfId="44" applyFont="1" applyBorder="1">
      <alignment vertical="center"/>
    </xf>
    <xf numFmtId="176" fontId="0" fillId="0" borderId="2" xfId="0" applyNumberFormat="1" applyBorder="1">
      <alignment vertical="center"/>
    </xf>
    <xf numFmtId="0" fontId="0" fillId="0" borderId="0" xfId="0" applyFill="1" applyBorder="1">
      <alignment vertical="center"/>
    </xf>
    <xf numFmtId="38" fontId="0" fillId="0" borderId="2" xfId="1" applyNumberFormat="1" applyFont="1" applyBorder="1" applyAlignment="1">
      <alignment horizontal="right" vertical="center"/>
    </xf>
    <xf numFmtId="0" fontId="23" fillId="0" borderId="2" xfId="0" applyFont="1" applyBorder="1">
      <alignment vertical="center"/>
    </xf>
    <xf numFmtId="38" fontId="23" fillId="0" borderId="2" xfId="0" applyNumberFormat="1" applyFont="1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38" fontId="0" fillId="0" borderId="16" xfId="2" applyFont="1" applyBorder="1" applyAlignment="1">
      <alignment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38" fontId="4" fillId="0" borderId="0" xfId="2" applyFont="1" applyAlignment="1">
      <alignment horizontal="right" vertical="center"/>
    </xf>
    <xf numFmtId="0" fontId="4" fillId="0" borderId="16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38" fontId="4" fillId="0" borderId="13" xfId="2" applyFont="1" applyBorder="1" applyAlignment="1">
      <alignment horizontal="center" vertical="center"/>
    </xf>
    <xf numFmtId="38" fontId="4" fillId="0" borderId="15" xfId="2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38" fontId="0" fillId="0" borderId="13" xfId="2" applyFont="1" applyBorder="1" applyAlignment="1">
      <alignment horizontal="center" vertical="center"/>
    </xf>
    <xf numFmtId="38" fontId="0" fillId="0" borderId="14" xfId="2" applyFont="1" applyBorder="1" applyAlignment="1">
      <alignment horizontal="center" vertical="center"/>
    </xf>
    <xf numFmtId="38" fontId="0" fillId="0" borderId="15" xfId="2" applyFont="1" applyBorder="1" applyAlignment="1">
      <alignment horizontal="center" vertical="center"/>
    </xf>
    <xf numFmtId="38" fontId="0" fillId="0" borderId="13" xfId="2" applyFont="1" applyFill="1" applyBorder="1" applyAlignment="1">
      <alignment horizontal="center" vertical="center"/>
    </xf>
    <xf numFmtId="38" fontId="0" fillId="0" borderId="14" xfId="2" applyFont="1" applyFill="1" applyBorder="1" applyAlignment="1">
      <alignment horizontal="center" vertical="center"/>
    </xf>
    <xf numFmtId="38" fontId="0" fillId="0" borderId="15" xfId="2" applyFont="1" applyFill="1" applyBorder="1" applyAlignment="1">
      <alignment horizontal="center" vertical="center"/>
    </xf>
    <xf numFmtId="0" fontId="23" fillId="0" borderId="2" xfId="0" applyFont="1" applyBorder="1" applyAlignment="1">
      <alignment horizontal="left" vertical="center"/>
    </xf>
    <xf numFmtId="0" fontId="23" fillId="33" borderId="13" xfId="0" applyFont="1" applyFill="1" applyBorder="1" applyAlignment="1">
      <alignment horizontal="left" vertical="center"/>
    </xf>
    <xf numFmtId="0" fontId="23" fillId="33" borderId="14" xfId="0" applyFont="1" applyFill="1" applyBorder="1" applyAlignment="1">
      <alignment horizontal="left" vertical="center"/>
    </xf>
    <xf numFmtId="0" fontId="23" fillId="33" borderId="15" xfId="0" applyFont="1" applyFill="1" applyBorder="1" applyAlignment="1">
      <alignment horizontal="left" vertical="center"/>
    </xf>
  </cellXfs>
  <cellStyles count="45">
    <cellStyle name="20% - アクセント 1" xfId="21" builtinId="30" customBuiltin="1"/>
    <cellStyle name="20% - アクセント 2" xfId="25" builtinId="34" customBuiltin="1"/>
    <cellStyle name="20% - アクセント 3" xfId="29" builtinId="38" customBuiltin="1"/>
    <cellStyle name="20% - アクセント 4" xfId="33" builtinId="42" customBuiltin="1"/>
    <cellStyle name="20% - アクセント 5" xfId="37" builtinId="46" customBuiltin="1"/>
    <cellStyle name="20% - アクセント 6" xfId="41" builtinId="50" customBuiltin="1"/>
    <cellStyle name="40% - アクセント 1" xfId="22" builtinId="31" customBuiltin="1"/>
    <cellStyle name="40% - アクセント 2" xfId="26" builtinId="35" customBuiltin="1"/>
    <cellStyle name="40% - アクセント 3" xfId="30" builtinId="39" customBuiltin="1"/>
    <cellStyle name="40% - アクセント 4" xfId="34" builtinId="43" customBuiltin="1"/>
    <cellStyle name="40% - アクセント 5" xfId="38" builtinId="47" customBuiltin="1"/>
    <cellStyle name="40% - アクセント 6" xfId="42" builtinId="51" customBuiltin="1"/>
    <cellStyle name="60% - アクセント 1" xfId="23" builtinId="32" customBuiltin="1"/>
    <cellStyle name="60% - アクセント 2" xfId="27" builtinId="36" customBuiltin="1"/>
    <cellStyle name="60% - アクセント 3" xfId="31" builtinId="40" customBuiltin="1"/>
    <cellStyle name="60% - アクセント 4" xfId="35" builtinId="44" customBuiltin="1"/>
    <cellStyle name="60% - アクセント 5" xfId="39" builtinId="48" customBuiltin="1"/>
    <cellStyle name="60% - アクセント 6" xfId="43" builtinId="52" customBuiltin="1"/>
    <cellStyle name="アクセント 1" xfId="20" builtinId="29" customBuiltin="1"/>
    <cellStyle name="アクセント 2" xfId="24" builtinId="33" customBuiltin="1"/>
    <cellStyle name="アクセント 3" xfId="28" builtinId="37" customBuiltin="1"/>
    <cellStyle name="アクセント 4" xfId="32" builtinId="41" customBuiltin="1"/>
    <cellStyle name="アクセント 5" xfId="36" builtinId="45" customBuiltin="1"/>
    <cellStyle name="アクセント 6" xfId="40" builtinId="49" customBuiltin="1"/>
    <cellStyle name="タイトル" xfId="3" builtinId="15" customBuiltin="1"/>
    <cellStyle name="チェック セル" xfId="15" builtinId="23" customBuiltin="1"/>
    <cellStyle name="どちらでもない" xfId="10" builtinId="28" customBuiltin="1"/>
    <cellStyle name="パーセント" xfId="44" builtinId="5"/>
    <cellStyle name="メモ" xfId="17" builtinId="10" customBuiltin="1"/>
    <cellStyle name="リンク セル" xfId="14" builtinId="24" customBuiltin="1"/>
    <cellStyle name="悪い" xfId="9" builtinId="27" customBuiltin="1"/>
    <cellStyle name="計算" xfId="13" builtinId="22" customBuiltin="1"/>
    <cellStyle name="警告文" xfId="16" builtinId="11" customBuiltin="1"/>
    <cellStyle name="桁区切り" xfId="2" builtinId="6"/>
    <cellStyle name="桁区切り [0.00]" xfId="1" builtinId="3"/>
    <cellStyle name="見出し 1" xfId="4" builtinId="16" customBuiltin="1"/>
    <cellStyle name="見出し 2" xfId="5" builtinId="17" customBuiltin="1"/>
    <cellStyle name="見出し 3" xfId="6" builtinId="18" customBuiltin="1"/>
    <cellStyle name="見出し 4" xfId="7" builtinId="19" customBuiltin="1"/>
    <cellStyle name="集計" xfId="19" builtinId="25" customBuiltin="1"/>
    <cellStyle name="出力" xfId="12" builtinId="21" customBuiltin="1"/>
    <cellStyle name="説明文" xfId="18" builtinId="53" customBuiltin="1"/>
    <cellStyle name="入力" xfId="11" builtinId="20" customBuiltin="1"/>
    <cellStyle name="標準" xfId="0" builtinId="0"/>
    <cellStyle name="良い" xfId="8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bar"/>
        <c:grouping val="percentStacked"/>
        <c:ser>
          <c:idx val="0"/>
          <c:order val="0"/>
          <c:tx>
            <c:strRef>
              <c:f>Sample!$A$74</c:f>
              <c:strCache>
                <c:ptCount val="1"/>
                <c:pt idx="0">
                  <c:v>Technology 1
0.0542t-CO2/t-rice</c:v>
                </c:pt>
              </c:strCache>
            </c:strRef>
          </c:tx>
          <c:dPt>
            <c:idx val="0"/>
            <c:spPr>
              <a:ln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</c:dPt>
          <c:dLbls>
            <c:showVal val="1"/>
          </c:dLbls>
          <c:val>
            <c:numRef>
              <c:f>Sample!$D$74</c:f>
              <c:numCache>
                <c:formatCode>0.0%</c:formatCode>
                <c:ptCount val="1"/>
                <c:pt idx="0">
                  <c:v>0.90814771517441495</c:v>
                </c:pt>
              </c:numCache>
            </c:numRef>
          </c:val>
        </c:ser>
        <c:ser>
          <c:idx val="1"/>
          <c:order val="1"/>
          <c:tx>
            <c:strRef>
              <c:f>Sample!$A$75</c:f>
              <c:strCache>
                <c:ptCount val="1"/>
                <c:pt idx="0">
                  <c:v>Technology 2
0.0360t-CO2/t-rice</c:v>
                </c:pt>
              </c:strCache>
            </c:strRef>
          </c:tx>
          <c:spPr>
            <a:ln>
              <a:solidFill>
                <a:prstClr val="black">
                  <a:lumMod val="85000"/>
                  <a:lumOff val="15000"/>
                </a:prstClr>
              </a:solidFill>
            </a:ln>
          </c:spPr>
          <c:dLbls>
            <c:dLbl>
              <c:idx val="0"/>
              <c:layout>
                <c:manualLayout>
                  <c:x val="2.7777777777777861E-3"/>
                  <c:y val="-5.5555555555555483E-2"/>
                </c:manualLayout>
              </c:layout>
              <c:showVal val="1"/>
            </c:dLbl>
            <c:showVal val="1"/>
          </c:dLbls>
          <c:val>
            <c:numRef>
              <c:f>Sample!$D$75</c:f>
              <c:numCache>
                <c:formatCode>0.0%</c:formatCode>
                <c:ptCount val="1"/>
                <c:pt idx="0">
                  <c:v>5.0101246268500932E-2</c:v>
                </c:pt>
              </c:numCache>
            </c:numRef>
          </c:val>
        </c:ser>
        <c:ser>
          <c:idx val="2"/>
          <c:order val="2"/>
          <c:tx>
            <c:strRef>
              <c:f>Sample!$A$76</c:f>
              <c:strCache>
                <c:ptCount val="1"/>
                <c:pt idx="0">
                  <c:v>Technology 3
0.0162t-CO2/t-rice</c:v>
                </c:pt>
              </c:strCache>
            </c:strRef>
          </c:tx>
          <c:spPr>
            <a:ln>
              <a:solidFill>
                <a:prstClr val="black">
                  <a:lumMod val="85000"/>
                  <a:lumOff val="15000"/>
                </a:prstClr>
              </a:solidFill>
            </a:ln>
          </c:spPr>
          <c:dLbls>
            <c:showVal val="1"/>
          </c:dLbls>
          <c:val>
            <c:numRef>
              <c:f>Sample!$D$76</c:f>
              <c:numCache>
                <c:formatCode>0.0%</c:formatCode>
                <c:ptCount val="1"/>
                <c:pt idx="0">
                  <c:v>4.1751038557084105E-2</c:v>
                </c:pt>
              </c:numCache>
            </c:numRef>
          </c:val>
        </c:ser>
        <c:ser>
          <c:idx val="3"/>
          <c:order val="3"/>
          <c:tx>
            <c:strRef>
              <c:f>Sample!$A$77</c:f>
              <c:strCache>
                <c:ptCount val="1"/>
                <c:pt idx="0">
                  <c:v>Technology 4
0t-CO2/t-rice</c:v>
                </c:pt>
              </c:strCache>
            </c:strRef>
          </c:tx>
          <c:val>
            <c:numRef>
              <c:f>Sample!$D$77</c:f>
              <c:numCache>
                <c:formatCode>0.0%</c:formatCode>
                <c:ptCount val="1"/>
                <c:pt idx="0">
                  <c:v>0</c:v>
                </c:pt>
              </c:numCache>
            </c:numRef>
          </c:val>
        </c:ser>
        <c:overlap val="100"/>
        <c:axId val="128355328"/>
        <c:axId val="60473728"/>
      </c:barChart>
      <c:catAx>
        <c:axId val="128355328"/>
        <c:scaling>
          <c:orientation val="minMax"/>
        </c:scaling>
        <c:delete val="1"/>
        <c:axPos val="l"/>
        <c:tickLblPos val="none"/>
        <c:crossAx val="60473728"/>
        <c:crosses val="autoZero"/>
        <c:auto val="1"/>
        <c:lblAlgn val="ctr"/>
        <c:lblOffset val="100"/>
      </c:catAx>
      <c:valAx>
        <c:axId val="60473728"/>
        <c:scaling>
          <c:orientation val="minMax"/>
          <c:min val="0"/>
        </c:scaling>
        <c:axPos val="b"/>
        <c:majorGridlines/>
        <c:numFmt formatCode="0%" sourceLinked="1"/>
        <c:tickLblPos val="nextTo"/>
        <c:crossAx val="128355328"/>
        <c:crosses val="autoZero"/>
        <c:crossBetween val="between"/>
        <c:minorUnit val="0.2"/>
      </c:valAx>
    </c:plotArea>
    <c:legend>
      <c:legendPos val="r"/>
    </c:legend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72</xdr:row>
      <xdr:rowOff>38100</xdr:rowOff>
    </xdr:from>
    <xdr:to>
      <xdr:col>13</xdr:col>
      <xdr:colOff>438150</xdr:colOff>
      <xdr:row>76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6"/>
  <sheetViews>
    <sheetView tabSelected="1" workbookViewId="0">
      <selection activeCell="A4" sqref="A4"/>
    </sheetView>
  </sheetViews>
  <sheetFormatPr defaultRowHeight="14.25"/>
  <cols>
    <col min="2" max="2" width="61.125" bestFit="1" customWidth="1"/>
  </cols>
  <sheetData>
    <row r="3" spans="1:2">
      <c r="A3" s="32" t="s">
        <v>335</v>
      </c>
    </row>
    <row r="4" spans="1:2" s="32" customFormat="1">
      <c r="A4" s="32" t="s">
        <v>325</v>
      </c>
      <c r="B4" s="32" t="s">
        <v>324</v>
      </c>
    </row>
    <row r="5" spans="1:2">
      <c r="A5" s="32" t="s">
        <v>326</v>
      </c>
      <c r="B5">
        <v>1</v>
      </c>
    </row>
    <row r="6" spans="1:2">
      <c r="A6" s="32" t="s">
        <v>327</v>
      </c>
      <c r="B6" s="16">
        <v>41130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0"/>
  <sheetViews>
    <sheetView workbookViewId="0"/>
  </sheetViews>
  <sheetFormatPr defaultRowHeight="14.25"/>
  <cols>
    <col min="1" max="1" width="35.875" customWidth="1"/>
    <col min="2" max="2" width="12.125" customWidth="1"/>
    <col min="4" max="4" width="17.625" customWidth="1"/>
  </cols>
  <sheetData>
    <row r="1" spans="1:5" ht="15">
      <c r="A1" s="101" t="s">
        <v>284</v>
      </c>
    </row>
    <row r="2" spans="1:5">
      <c r="A2" s="54"/>
      <c r="B2" s="54"/>
      <c r="C2" s="54" t="s">
        <v>288</v>
      </c>
      <c r="D2" s="54" t="s">
        <v>289</v>
      </c>
    </row>
    <row r="3" spans="1:5">
      <c r="A3" s="15" t="s">
        <v>18</v>
      </c>
      <c r="B3" s="28">
        <v>4000</v>
      </c>
      <c r="C3" s="15" t="s">
        <v>21</v>
      </c>
      <c r="D3" s="15"/>
    </row>
    <row r="4" spans="1:5" s="32" customFormat="1">
      <c r="A4" s="22" t="s">
        <v>147</v>
      </c>
      <c r="B4" s="28">
        <v>10</v>
      </c>
      <c r="C4" s="15" t="s">
        <v>151</v>
      </c>
      <c r="D4" s="15"/>
    </row>
    <row r="5" spans="1:5" s="32" customFormat="1">
      <c r="A5" s="22" t="s">
        <v>149</v>
      </c>
      <c r="B5" s="28">
        <v>200</v>
      </c>
      <c r="C5" s="15"/>
      <c r="D5" s="15"/>
    </row>
    <row r="6" spans="1:5">
      <c r="A6" s="15" t="s">
        <v>6</v>
      </c>
      <c r="B6" s="15">
        <v>250</v>
      </c>
      <c r="C6" s="15" t="s">
        <v>20</v>
      </c>
      <c r="D6" s="15"/>
    </row>
    <row r="7" spans="1:5">
      <c r="A7" s="15" t="s">
        <v>19</v>
      </c>
      <c r="B7" s="15"/>
      <c r="C7" s="15"/>
      <c r="D7" s="15"/>
    </row>
    <row r="8" spans="1:5" ht="28.5" customHeight="1">
      <c r="A8" s="22" t="s">
        <v>22</v>
      </c>
      <c r="B8" s="115">
        <f>B30*5-B10</f>
        <v>177500</v>
      </c>
      <c r="C8" s="52" t="s">
        <v>15</v>
      </c>
      <c r="D8" s="52" t="s">
        <v>238</v>
      </c>
    </row>
    <row r="9" spans="1:5" s="32" customFormat="1" ht="28.5" customHeight="1">
      <c r="A9" s="22" t="s">
        <v>192</v>
      </c>
      <c r="B9" s="51"/>
      <c r="C9" s="53"/>
      <c r="D9" s="53"/>
    </row>
    <row r="10" spans="1:5">
      <c r="A10" s="22" t="s">
        <v>272</v>
      </c>
      <c r="B10" s="51">
        <v>10000</v>
      </c>
      <c r="C10" s="110" t="s">
        <v>15</v>
      </c>
      <c r="D10" s="53" t="s">
        <v>182</v>
      </c>
      <c r="E10" s="2"/>
    </row>
    <row r="11" spans="1:5">
      <c r="A11" s="112" t="s">
        <v>84</v>
      </c>
      <c r="B11" s="113"/>
      <c r="C11" s="113"/>
      <c r="D11" s="114"/>
    </row>
    <row r="12" spans="1:5">
      <c r="A12" s="22" t="s">
        <v>14</v>
      </c>
      <c r="B12" s="59">
        <v>0.98</v>
      </c>
      <c r="C12" s="15" t="s">
        <v>15</v>
      </c>
      <c r="D12" s="15" t="s">
        <v>44</v>
      </c>
    </row>
    <row r="13" spans="1:5">
      <c r="A13" s="22" t="s">
        <v>17</v>
      </c>
      <c r="B13" s="59">
        <f>ROUND(Sample!E74,1)</f>
        <v>20.100000000000001</v>
      </c>
      <c r="C13" s="15" t="s">
        <v>270</v>
      </c>
      <c r="D13" s="15" t="s">
        <v>104</v>
      </c>
    </row>
    <row r="14" spans="1:5">
      <c r="A14" s="22" t="s">
        <v>271</v>
      </c>
      <c r="B14" s="26">
        <f>B3*B12*B13</f>
        <v>78792</v>
      </c>
      <c r="C14" s="15" t="s">
        <v>15</v>
      </c>
      <c r="D14" s="15"/>
    </row>
    <row r="15" spans="1:5" ht="42.75">
      <c r="A15" s="22" t="s">
        <v>12</v>
      </c>
      <c r="B15" s="26">
        <f>B35*5</f>
        <v>9861.5</v>
      </c>
      <c r="C15" s="52" t="s">
        <v>15</v>
      </c>
      <c r="D15" s="15" t="s">
        <v>239</v>
      </c>
    </row>
    <row r="16" spans="1:5" ht="28.5">
      <c r="A16" s="22" t="s">
        <v>143</v>
      </c>
      <c r="B16" s="26">
        <f>6*B58*B5</f>
        <v>4800</v>
      </c>
      <c r="C16" s="15" t="s">
        <v>15</v>
      </c>
      <c r="D16" s="15" t="s">
        <v>145</v>
      </c>
    </row>
    <row r="17" spans="1:7" ht="71.25">
      <c r="A17" s="11" t="s">
        <v>201</v>
      </c>
      <c r="B17" s="10">
        <f>SUM(B8:B10)*0.7/10*0.13</f>
        <v>1706.25</v>
      </c>
      <c r="C17" s="15" t="s">
        <v>15</v>
      </c>
      <c r="D17" s="30" t="s">
        <v>274</v>
      </c>
    </row>
    <row r="18" spans="1:7" s="32" customFormat="1">
      <c r="A18" s="14"/>
      <c r="B18" s="75"/>
      <c r="C18" s="76"/>
      <c r="D18" s="77"/>
    </row>
    <row r="19" spans="1:7" ht="15">
      <c r="A19" s="102" t="s">
        <v>285</v>
      </c>
      <c r="B19" s="14"/>
    </row>
    <row r="20" spans="1:7">
      <c r="A20" s="11" t="s">
        <v>39</v>
      </c>
      <c r="B20" s="12">
        <v>1</v>
      </c>
    </row>
    <row r="21" spans="1:7">
      <c r="A21" s="11" t="s">
        <v>40</v>
      </c>
      <c r="B21" s="12">
        <v>0.6</v>
      </c>
    </row>
    <row r="22" spans="1:7">
      <c r="A22" s="11" t="s">
        <v>41</v>
      </c>
      <c r="B22" s="12">
        <v>0.22</v>
      </c>
    </row>
    <row r="23" spans="1:7">
      <c r="A23" s="11" t="s">
        <v>42</v>
      </c>
      <c r="B23" s="13">
        <v>7.8E-2</v>
      </c>
    </row>
    <row r="24" spans="1:7">
      <c r="A24" t="s">
        <v>55</v>
      </c>
    </row>
    <row r="26" spans="1:7" ht="15">
      <c r="A26" s="101" t="s">
        <v>290</v>
      </c>
    </row>
    <row r="27" spans="1:7" ht="28.5">
      <c r="A27" s="9" t="s">
        <v>47</v>
      </c>
      <c r="B27" s="9"/>
      <c r="C27" s="9" t="s">
        <v>288</v>
      </c>
      <c r="D27" s="15" t="s">
        <v>208</v>
      </c>
    </row>
    <row r="28" spans="1:7" ht="28.5">
      <c r="A28" s="15" t="s">
        <v>291</v>
      </c>
      <c r="B28" s="9">
        <v>1306</v>
      </c>
      <c r="C28" s="9" t="s">
        <v>28</v>
      </c>
      <c r="D28" s="9"/>
    </row>
    <row r="29" spans="1:7" ht="28.5">
      <c r="A29" s="9" t="s">
        <v>43</v>
      </c>
      <c r="B29" s="9">
        <f>B28*B21</f>
        <v>783.6</v>
      </c>
      <c r="C29" s="9" t="s">
        <v>28</v>
      </c>
      <c r="D29" s="15" t="s">
        <v>207</v>
      </c>
      <c r="G29" s="6"/>
    </row>
    <row r="30" spans="1:7">
      <c r="A30" s="9" t="s">
        <v>38</v>
      </c>
      <c r="B30" s="10">
        <v>37500</v>
      </c>
      <c r="C30" s="9" t="s">
        <v>15</v>
      </c>
      <c r="D30" s="9"/>
      <c r="G30" s="6"/>
    </row>
    <row r="31" spans="1:7">
      <c r="A31" s="11" t="s">
        <v>32</v>
      </c>
      <c r="B31" s="10">
        <v>152080.51</v>
      </c>
      <c r="C31" s="9" t="s">
        <v>15</v>
      </c>
      <c r="D31" s="9" t="s">
        <v>48</v>
      </c>
    </row>
    <row r="32" spans="1:7">
      <c r="A32" s="11" t="s">
        <v>10</v>
      </c>
      <c r="B32" s="10">
        <v>3317.64</v>
      </c>
      <c r="C32" s="9" t="s">
        <v>15</v>
      </c>
      <c r="D32" s="9" t="s">
        <v>46</v>
      </c>
    </row>
    <row r="33" spans="1:7">
      <c r="A33" s="11" t="s">
        <v>3</v>
      </c>
      <c r="B33" s="10">
        <v>692.26</v>
      </c>
      <c r="C33" s="9" t="s">
        <v>15</v>
      </c>
      <c r="D33" s="9"/>
    </row>
    <row r="34" spans="1:7">
      <c r="A34" s="11" t="s">
        <v>29</v>
      </c>
      <c r="B34" s="10">
        <v>1306.1600000000001</v>
      </c>
      <c r="C34" s="9" t="s">
        <v>15</v>
      </c>
      <c r="D34" s="9"/>
    </row>
    <row r="35" spans="1:7">
      <c r="A35" s="11" t="s">
        <v>11</v>
      </c>
      <c r="B35" s="10">
        <v>1972.3</v>
      </c>
      <c r="C35" s="9" t="s">
        <v>15</v>
      </c>
      <c r="D35" s="9"/>
    </row>
    <row r="36" spans="1:7">
      <c r="A36" s="11" t="s">
        <v>30</v>
      </c>
      <c r="B36" s="10">
        <v>0.27</v>
      </c>
      <c r="C36" s="9" t="s">
        <v>15</v>
      </c>
      <c r="D36" s="9"/>
    </row>
    <row r="37" spans="1:7">
      <c r="A37" s="11" t="s">
        <v>31</v>
      </c>
      <c r="B37" s="10">
        <v>300.42</v>
      </c>
      <c r="C37" s="9" t="s">
        <v>15</v>
      </c>
      <c r="D37" s="9"/>
    </row>
    <row r="38" spans="1:7" ht="42.75">
      <c r="A38" s="11" t="s">
        <v>33</v>
      </c>
      <c r="B38" s="10">
        <v>1770.15</v>
      </c>
      <c r="C38" s="9" t="s">
        <v>15</v>
      </c>
      <c r="D38" s="15" t="s">
        <v>49</v>
      </c>
      <c r="F38" s="33" t="s">
        <v>139</v>
      </c>
      <c r="G38" s="16">
        <v>41087</v>
      </c>
    </row>
    <row r="39" spans="1:7">
      <c r="A39" s="109" t="s">
        <v>23</v>
      </c>
      <c r="B39" s="10">
        <f>SUM(B31:B38)</f>
        <v>161439.71000000002</v>
      </c>
      <c r="C39" s="9" t="s">
        <v>15</v>
      </c>
      <c r="D39" s="9"/>
    </row>
    <row r="40" spans="1:7">
      <c r="A40" s="11" t="s">
        <v>34</v>
      </c>
      <c r="B40" s="10">
        <v>181713</v>
      </c>
      <c r="C40" s="9" t="s">
        <v>15</v>
      </c>
      <c r="D40" s="9" t="s">
        <v>206</v>
      </c>
    </row>
    <row r="41" spans="1:7">
      <c r="A41" s="11" t="s">
        <v>35</v>
      </c>
      <c r="B41" s="10">
        <f>14694.26+489.06</f>
        <v>15183.32</v>
      </c>
      <c r="C41" s="9" t="s">
        <v>15</v>
      </c>
      <c r="D41" s="9"/>
    </row>
    <row r="42" spans="1:7">
      <c r="A42" s="109" t="s">
        <v>37</v>
      </c>
      <c r="B42" s="10">
        <f>SUM(B40:B41)</f>
        <v>196896.32</v>
      </c>
      <c r="C42" s="9" t="s">
        <v>15</v>
      </c>
      <c r="D42" s="9"/>
    </row>
    <row r="43" spans="1:7">
      <c r="A43" s="5" t="s">
        <v>36</v>
      </c>
      <c r="B43" s="10">
        <f>B42-B39</f>
        <v>35456.609999999986</v>
      </c>
      <c r="C43" s="9" t="s">
        <v>15</v>
      </c>
      <c r="D43" s="9"/>
    </row>
    <row r="44" spans="1:7">
      <c r="A44" s="9" t="s">
        <v>45</v>
      </c>
      <c r="B44" s="10">
        <f>B30/B29</f>
        <v>47.856049004594176</v>
      </c>
      <c r="C44" s="9"/>
      <c r="D44" s="9" t="s">
        <v>50</v>
      </c>
    </row>
    <row r="45" spans="1:7">
      <c r="A45" t="s">
        <v>54</v>
      </c>
    </row>
    <row r="47" spans="1:7" ht="15">
      <c r="A47" s="101" t="s">
        <v>286</v>
      </c>
      <c r="B47" s="6"/>
    </row>
    <row r="48" spans="1:7">
      <c r="A48" s="9" t="s">
        <v>52</v>
      </c>
      <c r="B48" s="9" t="s">
        <v>53</v>
      </c>
      <c r="C48" s="9"/>
    </row>
    <row r="49" spans="1:3">
      <c r="A49" s="9">
        <v>60</v>
      </c>
      <c r="B49" s="9">
        <v>1</v>
      </c>
      <c r="C49" s="9" t="s">
        <v>51</v>
      </c>
    </row>
    <row r="50" spans="1:3">
      <c r="A50" s="9">
        <v>110</v>
      </c>
      <c r="B50" s="9">
        <v>1</v>
      </c>
      <c r="C50" s="9" t="s">
        <v>51</v>
      </c>
    </row>
    <row r="51" spans="1:3">
      <c r="A51" s="9">
        <v>120</v>
      </c>
      <c r="B51" s="9">
        <v>1</v>
      </c>
      <c r="C51" s="9" t="s">
        <v>51</v>
      </c>
    </row>
    <row r="52" spans="1:3">
      <c r="A52" s="9">
        <v>220</v>
      </c>
      <c r="B52" s="9">
        <v>2</v>
      </c>
      <c r="C52" s="9"/>
    </row>
    <row r="53" spans="1:3">
      <c r="A53" s="9">
        <v>300</v>
      </c>
      <c r="B53" s="9">
        <v>5</v>
      </c>
      <c r="C53" s="9"/>
    </row>
    <row r="54" spans="1:3">
      <c r="A54" s="9">
        <v>5400</v>
      </c>
      <c r="B54" s="9">
        <v>8</v>
      </c>
      <c r="C54" s="9"/>
    </row>
    <row r="55" spans="1:3">
      <c r="A55" t="s">
        <v>54</v>
      </c>
    </row>
    <row r="57" spans="1:3" ht="15">
      <c r="A57" s="101" t="s">
        <v>287</v>
      </c>
    </row>
    <row r="58" spans="1:3">
      <c r="A58" s="9" t="s">
        <v>140</v>
      </c>
      <c r="B58" s="9">
        <v>4</v>
      </c>
    </row>
    <row r="59" spans="1:3">
      <c r="A59" s="9" t="s">
        <v>141</v>
      </c>
      <c r="B59" s="9">
        <v>8</v>
      </c>
    </row>
    <row r="60" spans="1:3">
      <c r="A60" s="32" t="s">
        <v>159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7"/>
  <sheetViews>
    <sheetView workbookViewId="0"/>
  </sheetViews>
  <sheetFormatPr defaultRowHeight="14.25"/>
  <cols>
    <col min="1" max="1" width="30.75" style="1" customWidth="1"/>
    <col min="2" max="2" width="18.25" style="1" customWidth="1"/>
    <col min="3" max="3" width="10.5" style="1" customWidth="1"/>
    <col min="4" max="4" width="18.75" style="1" customWidth="1"/>
    <col min="5" max="5" width="9" style="1"/>
    <col min="6" max="6" width="12.25" style="1" bestFit="1" customWidth="1"/>
    <col min="7" max="16384" width="9" style="1"/>
  </cols>
  <sheetData>
    <row r="1" spans="1:8" ht="15">
      <c r="A1" s="101" t="s">
        <v>283</v>
      </c>
    </row>
    <row r="2" spans="1:8">
      <c r="A2" s="52"/>
      <c r="B2" s="15"/>
      <c r="C2" s="15" t="s">
        <v>103</v>
      </c>
      <c r="D2" s="15" t="s">
        <v>102</v>
      </c>
    </row>
    <row r="3" spans="1:8">
      <c r="A3" s="15" t="s">
        <v>18</v>
      </c>
      <c r="B3" s="26">
        <v>4800</v>
      </c>
      <c r="C3" s="15" t="s">
        <v>21</v>
      </c>
      <c r="D3" s="15"/>
    </row>
    <row r="4" spans="1:8">
      <c r="A4" s="15" t="s">
        <v>24</v>
      </c>
      <c r="B4" s="26">
        <f>B7*B5</f>
        <v>216000</v>
      </c>
      <c r="C4" s="15" t="s">
        <v>27</v>
      </c>
      <c r="D4" s="15" t="s">
        <v>88</v>
      </c>
    </row>
    <row r="5" spans="1:8">
      <c r="A5" s="22" t="s">
        <v>25</v>
      </c>
      <c r="B5" s="26">
        <v>900</v>
      </c>
      <c r="C5" s="15" t="s">
        <v>292</v>
      </c>
      <c r="D5" s="15" t="s">
        <v>104</v>
      </c>
    </row>
    <row r="6" spans="1:8" s="31" customFormat="1">
      <c r="A6" s="22" t="s">
        <v>190</v>
      </c>
      <c r="B6" s="26">
        <v>10</v>
      </c>
      <c r="C6" s="15" t="s">
        <v>188</v>
      </c>
      <c r="D6" s="15" t="s">
        <v>191</v>
      </c>
    </row>
    <row r="7" spans="1:8">
      <c r="A7" s="22" t="s">
        <v>189</v>
      </c>
      <c r="B7" s="26">
        <v>240</v>
      </c>
      <c r="C7" s="15" t="s">
        <v>26</v>
      </c>
      <c r="D7" s="15" t="s">
        <v>104</v>
      </c>
    </row>
    <row r="8" spans="1:8">
      <c r="A8" s="26" t="s">
        <v>59</v>
      </c>
      <c r="B8" s="26"/>
      <c r="C8" s="15"/>
      <c r="D8" s="15"/>
    </row>
    <row r="9" spans="1:8" ht="28.5">
      <c r="A9" s="27" t="s">
        <v>86</v>
      </c>
      <c r="B9" s="26">
        <f>Tech4!B7</f>
        <v>1175000</v>
      </c>
      <c r="C9" s="15" t="s">
        <v>95</v>
      </c>
      <c r="D9" s="15" t="s">
        <v>92</v>
      </c>
    </row>
    <row r="10" spans="1:8">
      <c r="A10" s="27" t="s">
        <v>87</v>
      </c>
      <c r="B10" s="26">
        <v>0</v>
      </c>
      <c r="C10" s="15" t="s">
        <v>95</v>
      </c>
      <c r="D10" s="15" t="s">
        <v>104</v>
      </c>
      <c r="G10" s="3"/>
    </row>
    <row r="11" spans="1:8" ht="57">
      <c r="A11" s="27" t="s">
        <v>211</v>
      </c>
      <c r="B11" s="26">
        <f>Tech4!B9/2</f>
        <v>18750</v>
      </c>
      <c r="C11" s="15" t="s">
        <v>95</v>
      </c>
      <c r="D11" s="15" t="s">
        <v>213</v>
      </c>
      <c r="G11" s="3"/>
    </row>
    <row r="12" spans="1:8">
      <c r="A12" s="26" t="s">
        <v>83</v>
      </c>
      <c r="B12" s="26"/>
      <c r="C12" s="15"/>
      <c r="D12" s="15"/>
    </row>
    <row r="13" spans="1:8">
      <c r="A13" s="27"/>
      <c r="B13" s="15">
        <v>0.56000000000000005</v>
      </c>
      <c r="C13" s="15" t="s">
        <v>57</v>
      </c>
      <c r="D13" s="15" t="s">
        <v>56</v>
      </c>
    </row>
    <row r="14" spans="1:8">
      <c r="A14" s="27" t="s">
        <v>193</v>
      </c>
      <c r="B14" s="26">
        <f>B13*B4</f>
        <v>120960.00000000001</v>
      </c>
      <c r="C14" s="15" t="s">
        <v>95</v>
      </c>
      <c r="D14" s="15" t="s">
        <v>88</v>
      </c>
      <c r="F14" s="92"/>
    </row>
    <row r="15" spans="1:8" ht="57">
      <c r="A15" s="27" t="s">
        <v>75</v>
      </c>
      <c r="B15" s="26">
        <f>Tech4!D38/80/2</f>
        <v>28125</v>
      </c>
      <c r="C15" s="15" t="s">
        <v>95</v>
      </c>
      <c r="D15" s="15" t="s">
        <v>213</v>
      </c>
      <c r="G15" s="3"/>
    </row>
    <row r="16" spans="1:8" ht="28.5">
      <c r="A16" s="27" t="s">
        <v>68</v>
      </c>
      <c r="B16" s="26">
        <f>SUM(Tech4!D33,Tech4!D35,Tech4!D37)/Tech4!B40</f>
        <v>15000</v>
      </c>
      <c r="C16" s="15" t="s">
        <v>95</v>
      </c>
      <c r="D16" s="15" t="s">
        <v>92</v>
      </c>
      <c r="H16" s="8"/>
    </row>
    <row r="17" spans="1:8" ht="71.25">
      <c r="A17" s="11" t="s">
        <v>201</v>
      </c>
      <c r="B17" s="10">
        <f>SUM(B9:B11)*0.7/10*0.13</f>
        <v>10863.125</v>
      </c>
      <c r="C17" s="15" t="s">
        <v>15</v>
      </c>
      <c r="D17" s="30" t="s">
        <v>274</v>
      </c>
      <c r="H17" s="8"/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68"/>
  <sheetViews>
    <sheetView workbookViewId="0"/>
  </sheetViews>
  <sheetFormatPr defaultRowHeight="14.25"/>
  <cols>
    <col min="1" max="1" width="30.125" style="17" customWidth="1"/>
    <col min="2" max="2" width="23.75" style="17" customWidth="1"/>
    <col min="3" max="3" width="14.25" style="17" customWidth="1"/>
    <col min="4" max="4" width="20.125" style="17" customWidth="1"/>
    <col min="5" max="5" width="14.5" style="17" customWidth="1"/>
    <col min="6" max="16384" width="9" style="17"/>
  </cols>
  <sheetData>
    <row r="1" spans="1:8" ht="15">
      <c r="A1" s="101" t="s">
        <v>280</v>
      </c>
    </row>
    <row r="2" spans="1:8" s="31" customFormat="1">
      <c r="A2" s="52"/>
      <c r="B2" s="15"/>
      <c r="C2" s="15" t="s">
        <v>103</v>
      </c>
      <c r="D2" s="15" t="s">
        <v>99</v>
      </c>
    </row>
    <row r="3" spans="1:8">
      <c r="A3" s="38" t="s">
        <v>91</v>
      </c>
      <c r="B3" s="38">
        <v>4000</v>
      </c>
      <c r="C3" s="38" t="s">
        <v>89</v>
      </c>
      <c r="D3" s="38"/>
    </row>
    <row r="4" spans="1:8">
      <c r="A4" s="40" t="s">
        <v>146</v>
      </c>
      <c r="B4" s="38">
        <v>10</v>
      </c>
      <c r="C4" s="38" t="s">
        <v>150</v>
      </c>
      <c r="D4" s="38"/>
    </row>
    <row r="5" spans="1:8">
      <c r="A5" s="40" t="s">
        <v>148</v>
      </c>
      <c r="B5" s="38">
        <v>200</v>
      </c>
      <c r="C5" s="38" t="s">
        <v>158</v>
      </c>
      <c r="D5" s="38"/>
    </row>
    <row r="6" spans="1:8">
      <c r="A6" s="38" t="s">
        <v>156</v>
      </c>
      <c r="B6" s="38">
        <v>250</v>
      </c>
      <c r="C6" s="38" t="s">
        <v>81</v>
      </c>
      <c r="D6" s="38"/>
    </row>
    <row r="7" spans="1:8">
      <c r="A7" s="38" t="s">
        <v>157</v>
      </c>
      <c r="B7" s="38">
        <v>200</v>
      </c>
      <c r="C7" s="38" t="s">
        <v>81</v>
      </c>
      <c r="D7" s="38"/>
    </row>
    <row r="8" spans="1:8" ht="14.25" customHeight="1">
      <c r="A8" s="38" t="s">
        <v>59</v>
      </c>
      <c r="B8" s="38"/>
      <c r="C8" s="38"/>
      <c r="D8" s="38"/>
    </row>
    <row r="9" spans="1:8" ht="42.75">
      <c r="A9" s="40" t="s">
        <v>86</v>
      </c>
      <c r="B9" s="50">
        <f>187500-10000</f>
        <v>177500</v>
      </c>
      <c r="C9" s="38" t="s">
        <v>94</v>
      </c>
      <c r="D9" s="38" t="s">
        <v>240</v>
      </c>
    </row>
    <row r="10" spans="1:8" ht="42.75">
      <c r="A10" s="40" t="s">
        <v>269</v>
      </c>
      <c r="B10" s="50">
        <f>10000*2</f>
        <v>20000</v>
      </c>
      <c r="C10" s="38" t="s">
        <v>94</v>
      </c>
      <c r="D10" s="38" t="s">
        <v>203</v>
      </c>
    </row>
    <row r="11" spans="1:8">
      <c r="A11" s="40" t="s">
        <v>160</v>
      </c>
      <c r="B11" s="44">
        <f>E32</f>
        <v>73500</v>
      </c>
      <c r="C11" s="38" t="s">
        <v>94</v>
      </c>
      <c r="D11" s="38" t="s">
        <v>185</v>
      </c>
      <c r="H11" s="56"/>
    </row>
    <row r="12" spans="1:8">
      <c r="A12" s="40" t="s">
        <v>162</v>
      </c>
      <c r="B12" s="50">
        <f>C34</f>
        <v>15000</v>
      </c>
      <c r="C12" s="38" t="s">
        <v>94</v>
      </c>
      <c r="D12" s="38" t="s">
        <v>185</v>
      </c>
    </row>
    <row r="13" spans="1:8">
      <c r="A13" s="40" t="s">
        <v>161</v>
      </c>
      <c r="B13" s="44">
        <f>E35</f>
        <v>10000</v>
      </c>
      <c r="C13" s="38" t="s">
        <v>94</v>
      </c>
      <c r="D13" s="38" t="s">
        <v>185</v>
      </c>
    </row>
    <row r="14" spans="1:8">
      <c r="A14" s="38"/>
      <c r="B14" s="55">
        <f>SUM(B9:B13)</f>
        <v>296000</v>
      </c>
      <c r="C14" s="38" t="s">
        <v>94</v>
      </c>
      <c r="D14" s="38"/>
    </row>
    <row r="15" spans="1:8">
      <c r="A15" s="38" t="s">
        <v>83</v>
      </c>
      <c r="B15" s="38"/>
      <c r="C15" s="38"/>
      <c r="D15" s="38"/>
    </row>
    <row r="16" spans="1:8">
      <c r="A16" s="40" t="s">
        <v>152</v>
      </c>
      <c r="B16" s="38">
        <v>0.98</v>
      </c>
      <c r="C16" s="38" t="s">
        <v>94</v>
      </c>
      <c r="D16" s="38" t="s">
        <v>153</v>
      </c>
    </row>
    <row r="17" spans="1:6">
      <c r="A17" s="40" t="s">
        <v>154</v>
      </c>
      <c r="B17" s="38">
        <v>7.2</v>
      </c>
      <c r="C17" s="38" t="s">
        <v>155</v>
      </c>
      <c r="D17" s="38" t="s">
        <v>104</v>
      </c>
    </row>
    <row r="18" spans="1:6">
      <c r="A18" s="29" t="s">
        <v>273</v>
      </c>
      <c r="B18" s="50">
        <f>B16*B17*B3</f>
        <v>28224</v>
      </c>
      <c r="C18" s="38" t="s">
        <v>94</v>
      </c>
      <c r="D18" s="38" t="s">
        <v>163</v>
      </c>
    </row>
    <row r="19" spans="1:6">
      <c r="A19" s="29" t="s">
        <v>11</v>
      </c>
      <c r="B19" s="38"/>
      <c r="C19" s="38"/>
      <c r="D19" s="38"/>
    </row>
    <row r="20" spans="1:6">
      <c r="A20" s="40" t="s">
        <v>164</v>
      </c>
      <c r="B20" s="50">
        <f>2900*12</f>
        <v>34800</v>
      </c>
      <c r="C20" s="38" t="s">
        <v>94</v>
      </c>
      <c r="D20" s="38" t="s">
        <v>104</v>
      </c>
    </row>
    <row r="21" spans="1:6" ht="28.5">
      <c r="A21" s="40" t="s">
        <v>165</v>
      </c>
      <c r="B21" s="50">
        <v>9861.5</v>
      </c>
      <c r="C21" s="38" t="s">
        <v>94</v>
      </c>
      <c r="D21" s="38" t="s">
        <v>241</v>
      </c>
    </row>
    <row r="22" spans="1:6">
      <c r="A22" s="38" t="s">
        <v>142</v>
      </c>
      <c r="B22" s="50"/>
      <c r="C22" s="38"/>
      <c r="D22" s="38"/>
    </row>
    <row r="23" spans="1:6" ht="42.75">
      <c r="A23" s="40" t="s">
        <v>164</v>
      </c>
      <c r="B23" s="50">
        <f>(1*Tech1!B59+2*Tech1!B58)*Tech3!B5</f>
        <v>3200</v>
      </c>
      <c r="C23" s="38" t="s">
        <v>94</v>
      </c>
      <c r="D23" s="38" t="s">
        <v>200</v>
      </c>
    </row>
    <row r="24" spans="1:6" ht="28.5">
      <c r="A24" s="40" t="s">
        <v>165</v>
      </c>
      <c r="B24" s="50">
        <v>4800</v>
      </c>
      <c r="C24" s="38" t="s">
        <v>94</v>
      </c>
      <c r="D24" s="38" t="s">
        <v>144</v>
      </c>
    </row>
    <row r="25" spans="1:6" ht="57">
      <c r="A25" s="38" t="s">
        <v>201</v>
      </c>
      <c r="B25" s="37">
        <f>B14*0.7/10*0.13</f>
        <v>2693.6</v>
      </c>
      <c r="C25" s="38" t="s">
        <v>94</v>
      </c>
      <c r="D25" s="30" t="s">
        <v>274</v>
      </c>
    </row>
    <row r="26" spans="1:6">
      <c r="B26" s="33"/>
    </row>
    <row r="27" spans="1:6" ht="15">
      <c r="A27" s="101" t="s">
        <v>281</v>
      </c>
      <c r="C27" s="36"/>
    </row>
    <row r="28" spans="1:6">
      <c r="A28" s="19"/>
      <c r="B28" s="123" t="s">
        <v>319</v>
      </c>
      <c r="C28" s="124"/>
      <c r="D28" s="123" t="s">
        <v>182</v>
      </c>
      <c r="E28" s="124"/>
    </row>
    <row r="29" spans="1:6">
      <c r="A29" s="19" t="s">
        <v>183</v>
      </c>
      <c r="B29" s="128">
        <v>24000</v>
      </c>
      <c r="C29" s="129"/>
      <c r="D29" s="123"/>
      <c r="E29" s="124"/>
    </row>
    <row r="30" spans="1:6">
      <c r="A30" s="120" t="s">
        <v>166</v>
      </c>
      <c r="B30" s="121"/>
      <c r="C30" s="121"/>
      <c r="D30" s="121"/>
      <c r="E30" s="122"/>
    </row>
    <row r="31" spans="1:6">
      <c r="A31" s="120" t="s">
        <v>167</v>
      </c>
      <c r="B31" s="121"/>
      <c r="C31" s="121"/>
      <c r="D31" s="121"/>
      <c r="E31" s="122"/>
    </row>
    <row r="32" spans="1:6" ht="28.5">
      <c r="A32" s="35" t="s">
        <v>168</v>
      </c>
      <c r="B32" s="38" t="s">
        <v>169</v>
      </c>
      <c r="C32" s="39">
        <v>109000</v>
      </c>
      <c r="D32" s="19" t="s">
        <v>132</v>
      </c>
      <c r="E32" s="47">
        <v>73500</v>
      </c>
      <c r="F32" s="34"/>
    </row>
    <row r="33" spans="1:6">
      <c r="A33" s="40" t="s">
        <v>170</v>
      </c>
      <c r="B33" s="19" t="s">
        <v>171</v>
      </c>
      <c r="C33" s="39">
        <v>47000</v>
      </c>
      <c r="D33" s="19"/>
      <c r="E33" s="35" t="s">
        <v>199</v>
      </c>
    </row>
    <row r="34" spans="1:6" ht="28.5">
      <c r="A34" s="40" t="s">
        <v>105</v>
      </c>
      <c r="B34" s="19"/>
      <c r="C34" s="39">
        <v>15000</v>
      </c>
      <c r="D34" s="19"/>
      <c r="E34" s="35" t="s">
        <v>198</v>
      </c>
      <c r="F34" s="125"/>
    </row>
    <row r="35" spans="1:6" ht="28.5">
      <c r="A35" s="40" t="s">
        <v>106</v>
      </c>
      <c r="B35" s="19"/>
      <c r="C35" s="39">
        <v>5000</v>
      </c>
      <c r="D35" s="19"/>
      <c r="E35" s="130">
        <v>10000</v>
      </c>
      <c r="F35" s="125"/>
    </row>
    <row r="36" spans="1:6">
      <c r="A36" s="40" t="s">
        <v>172</v>
      </c>
      <c r="B36" s="19"/>
      <c r="C36" s="39"/>
      <c r="D36" s="19"/>
      <c r="E36" s="131"/>
      <c r="F36" s="125"/>
    </row>
    <row r="37" spans="1:6">
      <c r="A37" s="120" t="s">
        <v>173</v>
      </c>
      <c r="B37" s="121"/>
      <c r="C37" s="121"/>
      <c r="D37" s="121"/>
      <c r="E37" s="122"/>
    </row>
    <row r="38" spans="1:6">
      <c r="A38" s="40" t="s">
        <v>184</v>
      </c>
      <c r="B38" s="38">
        <v>2</v>
      </c>
      <c r="C38" s="39">
        <v>153000</v>
      </c>
      <c r="D38" s="19"/>
      <c r="E38" s="35" t="s">
        <v>199</v>
      </c>
    </row>
    <row r="39" spans="1:6">
      <c r="A39" s="40" t="s">
        <v>107</v>
      </c>
      <c r="B39" s="19"/>
      <c r="C39" s="39">
        <v>80000</v>
      </c>
      <c r="D39" s="19"/>
      <c r="E39" s="35" t="s">
        <v>199</v>
      </c>
    </row>
    <row r="40" spans="1:6" ht="28.5">
      <c r="A40" s="40" t="s">
        <v>108</v>
      </c>
      <c r="B40" s="19"/>
      <c r="C40" s="39">
        <v>320000</v>
      </c>
      <c r="D40" s="19"/>
      <c r="E40" s="35" t="s">
        <v>199</v>
      </c>
      <c r="F40" s="34"/>
    </row>
    <row r="41" spans="1:6" ht="28.5">
      <c r="A41" s="40" t="s">
        <v>174</v>
      </c>
      <c r="B41" s="19">
        <v>2</v>
      </c>
      <c r="C41" s="39">
        <v>41000</v>
      </c>
      <c r="D41" s="19"/>
      <c r="E41" s="35" t="s">
        <v>199</v>
      </c>
    </row>
    <row r="42" spans="1:6">
      <c r="A42" s="132" t="s">
        <v>175</v>
      </c>
      <c r="B42" s="133"/>
      <c r="C42" s="133"/>
      <c r="D42" s="133"/>
      <c r="E42" s="134"/>
    </row>
    <row r="43" spans="1:6" ht="28.5">
      <c r="A43" s="126" t="s">
        <v>176</v>
      </c>
      <c r="B43" s="19"/>
      <c r="C43" s="19"/>
      <c r="D43" s="29" t="s">
        <v>133</v>
      </c>
      <c r="E43" s="47">
        <v>1800</v>
      </c>
    </row>
    <row r="44" spans="1:6">
      <c r="A44" s="127"/>
      <c r="B44" s="19"/>
      <c r="C44" s="19"/>
      <c r="D44" s="29" t="s">
        <v>134</v>
      </c>
      <c r="E44" s="47">
        <v>1080</v>
      </c>
    </row>
    <row r="45" spans="1:6">
      <c r="A45" s="40" t="s">
        <v>177</v>
      </c>
      <c r="B45" s="19"/>
      <c r="C45" s="19"/>
      <c r="D45" s="29" t="s">
        <v>178</v>
      </c>
      <c r="E45" s="47">
        <v>2160</v>
      </c>
    </row>
    <row r="46" spans="1:6" ht="28.5">
      <c r="A46" s="40" t="s">
        <v>135</v>
      </c>
      <c r="B46" s="19"/>
      <c r="C46" s="19"/>
      <c r="D46" s="29"/>
      <c r="E46" s="40">
        <v>500</v>
      </c>
    </row>
    <row r="47" spans="1:6">
      <c r="A47" s="40" t="s">
        <v>136</v>
      </c>
      <c r="B47" s="19"/>
      <c r="C47" s="19"/>
      <c r="D47" s="19"/>
      <c r="E47" s="40" t="s">
        <v>137</v>
      </c>
    </row>
    <row r="48" spans="1:6">
      <c r="A48" s="43" t="s">
        <v>320</v>
      </c>
      <c r="B48" s="41"/>
      <c r="C48" s="42"/>
    </row>
    <row r="49" spans="1:11">
      <c r="B49" s="41"/>
      <c r="C49" s="42"/>
    </row>
    <row r="50" spans="1:11">
      <c r="B50" s="41"/>
      <c r="C50" s="42"/>
    </row>
    <row r="51" spans="1:11" ht="15">
      <c r="A51" s="101" t="s">
        <v>282</v>
      </c>
    </row>
    <row r="52" spans="1:11" ht="14.25" customHeight="1">
      <c r="A52" s="48" t="s">
        <v>109</v>
      </c>
      <c r="B52" s="48" t="s">
        <v>110</v>
      </c>
      <c r="C52" s="48" t="s">
        <v>111</v>
      </c>
      <c r="D52" s="118" t="s">
        <v>244</v>
      </c>
      <c r="E52" s="119"/>
      <c r="F52" s="118" t="s">
        <v>112</v>
      </c>
      <c r="G52" s="119"/>
    </row>
    <row r="53" spans="1:11">
      <c r="A53" s="49"/>
      <c r="B53" s="49"/>
      <c r="C53" s="49"/>
      <c r="D53" s="38" t="s">
        <v>113</v>
      </c>
      <c r="E53" s="38" t="s">
        <v>114</v>
      </c>
      <c r="F53" s="38" t="s">
        <v>115</v>
      </c>
      <c r="G53" s="38" t="s">
        <v>116</v>
      </c>
    </row>
    <row r="54" spans="1:11">
      <c r="A54" s="83" t="s">
        <v>117</v>
      </c>
      <c r="B54" s="84"/>
      <c r="C54" s="84"/>
      <c r="D54" s="84"/>
      <c r="E54" s="84"/>
      <c r="F54" s="84"/>
      <c r="G54" s="85"/>
    </row>
    <row r="55" spans="1:11">
      <c r="A55" s="38" t="s">
        <v>118</v>
      </c>
      <c r="B55" s="38" t="s">
        <v>119</v>
      </c>
      <c r="C55" s="38">
        <v>2007</v>
      </c>
      <c r="D55" s="38">
        <v>100</v>
      </c>
      <c r="E55" s="38">
        <v>300</v>
      </c>
      <c r="F55" s="44">
        <v>18000</v>
      </c>
      <c r="G55" s="44">
        <v>45000</v>
      </c>
    </row>
    <row r="56" spans="1:11">
      <c r="A56" s="38" t="s">
        <v>120</v>
      </c>
      <c r="B56" s="38" t="s">
        <v>121</v>
      </c>
      <c r="C56" s="38">
        <v>2006</v>
      </c>
      <c r="D56" s="38">
        <v>300</v>
      </c>
      <c r="E56" s="38">
        <v>600</v>
      </c>
      <c r="F56" s="44">
        <v>15000</v>
      </c>
      <c r="G56" s="44">
        <v>27000</v>
      </c>
    </row>
    <row r="57" spans="1:11">
      <c r="A57" s="38" t="s">
        <v>122</v>
      </c>
      <c r="B57" s="38" t="s">
        <v>123</v>
      </c>
      <c r="C57" s="38">
        <v>2008</v>
      </c>
      <c r="D57" s="38">
        <v>300</v>
      </c>
      <c r="E57" s="38">
        <v>300</v>
      </c>
      <c r="F57" s="44">
        <v>25000</v>
      </c>
      <c r="G57" s="44">
        <v>30000</v>
      </c>
    </row>
    <row r="58" spans="1:11">
      <c r="A58" s="38" t="s">
        <v>124</v>
      </c>
      <c r="B58" s="38" t="s">
        <v>121</v>
      </c>
      <c r="C58" s="38">
        <v>2007</v>
      </c>
      <c r="D58" s="38">
        <v>250</v>
      </c>
      <c r="E58" s="38">
        <v>300</v>
      </c>
      <c r="F58" s="38" t="s">
        <v>125</v>
      </c>
      <c r="G58" s="44">
        <v>40000</v>
      </c>
    </row>
    <row r="59" spans="1:11">
      <c r="A59" s="38" t="s">
        <v>126</v>
      </c>
      <c r="B59" s="38" t="s">
        <v>127</v>
      </c>
      <c r="C59" s="38">
        <v>2006</v>
      </c>
      <c r="D59" s="38">
        <v>100</v>
      </c>
      <c r="E59" s="38">
        <v>300</v>
      </c>
      <c r="F59" s="44">
        <v>27000</v>
      </c>
      <c r="G59" s="44">
        <v>45000</v>
      </c>
    </row>
    <row r="60" spans="1:11">
      <c r="A60" s="83" t="s">
        <v>128</v>
      </c>
      <c r="B60" s="84"/>
      <c r="C60" s="84"/>
      <c r="D60" s="84"/>
      <c r="E60" s="84"/>
      <c r="F60" s="84"/>
      <c r="G60" s="85"/>
    </row>
    <row r="61" spans="1:11">
      <c r="A61" s="38" t="s">
        <v>129</v>
      </c>
      <c r="B61" s="38" t="s">
        <v>130</v>
      </c>
      <c r="C61" s="38">
        <v>2006</v>
      </c>
      <c r="D61" s="38">
        <v>150</v>
      </c>
      <c r="E61" s="38">
        <v>400</v>
      </c>
      <c r="F61" s="44">
        <v>64000</v>
      </c>
      <c r="G61" s="40" t="s">
        <v>131</v>
      </c>
    </row>
    <row r="62" spans="1:11">
      <c r="A62" s="45" t="s">
        <v>179</v>
      </c>
      <c r="B62" s="33"/>
      <c r="C62" s="33"/>
      <c r="D62" s="33"/>
      <c r="E62" s="33"/>
      <c r="F62" s="33"/>
      <c r="G62" s="33"/>
      <c r="H62" s="33"/>
      <c r="I62" s="33"/>
      <c r="J62" s="33"/>
      <c r="K62" s="33"/>
    </row>
    <row r="65" spans="1:1">
      <c r="A65" s="17" t="s">
        <v>180</v>
      </c>
    </row>
    <row r="66" spans="1:1">
      <c r="A66" s="46" t="s">
        <v>181</v>
      </c>
    </row>
    <row r="67" spans="1:1">
      <c r="A67" s="46" t="s">
        <v>202</v>
      </c>
    </row>
    <row r="68" spans="1:1">
      <c r="A68" s="46" t="s">
        <v>204</v>
      </c>
    </row>
  </sheetData>
  <mergeCells count="13">
    <mergeCell ref="B28:C28"/>
    <mergeCell ref="A43:A44"/>
    <mergeCell ref="B29:C29"/>
    <mergeCell ref="E35:E36"/>
    <mergeCell ref="A30:E30"/>
    <mergeCell ref="A42:E42"/>
    <mergeCell ref="D28:E28"/>
    <mergeCell ref="F52:G52"/>
    <mergeCell ref="D52:E52"/>
    <mergeCell ref="A31:E31"/>
    <mergeCell ref="A37:E37"/>
    <mergeCell ref="D29:E29"/>
    <mergeCell ref="F34:F36"/>
  </mergeCells>
  <phoneticPr fontId="3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40"/>
  <sheetViews>
    <sheetView workbookViewId="0"/>
  </sheetViews>
  <sheetFormatPr defaultRowHeight="14.25"/>
  <cols>
    <col min="1" max="1" width="27.875" customWidth="1"/>
    <col min="2" max="2" width="22.75" customWidth="1"/>
    <col min="3" max="3" width="8.375" customWidth="1"/>
    <col min="4" max="4" width="17.625" customWidth="1"/>
    <col min="5" max="5" width="4.5" customWidth="1"/>
    <col min="6" max="6" width="11.625" bestFit="1" customWidth="1"/>
    <col min="8" max="8" width="11.625" bestFit="1" customWidth="1"/>
    <col min="11" max="11" width="10.5" bestFit="1" customWidth="1"/>
  </cols>
  <sheetData>
    <row r="1" spans="1:7" ht="15">
      <c r="A1" s="101" t="s">
        <v>279</v>
      </c>
    </row>
    <row r="2" spans="1:7">
      <c r="A2" s="52"/>
      <c r="B2" s="15"/>
      <c r="C2" s="15" t="s">
        <v>186</v>
      </c>
      <c r="D2" s="15" t="s">
        <v>99</v>
      </c>
      <c r="E2" s="1"/>
      <c r="F2" s="1"/>
    </row>
    <row r="3" spans="1:7" ht="28.5">
      <c r="A3" s="15" t="s">
        <v>96</v>
      </c>
      <c r="B3" s="24">
        <f>D17</f>
        <v>3600</v>
      </c>
      <c r="C3" s="24" t="s">
        <v>90</v>
      </c>
      <c r="D3" s="15" t="s">
        <v>92</v>
      </c>
      <c r="E3" s="2"/>
      <c r="F3" s="2"/>
      <c r="G3" s="2"/>
    </row>
    <row r="4" spans="1:7" ht="28.5">
      <c r="A4" s="15" t="s">
        <v>195</v>
      </c>
      <c r="B4" s="15">
        <f>D20</f>
        <v>120</v>
      </c>
      <c r="C4" s="24" t="s">
        <v>82</v>
      </c>
      <c r="D4" s="15" t="s">
        <v>92</v>
      </c>
    </row>
    <row r="5" spans="1:7">
      <c r="A5" s="15" t="s">
        <v>97</v>
      </c>
      <c r="B5" s="26">
        <f>B4*B18*B19</f>
        <v>360000</v>
      </c>
      <c r="C5" s="24" t="s">
        <v>98</v>
      </c>
      <c r="D5" s="15" t="s">
        <v>88</v>
      </c>
    </row>
    <row r="6" spans="1:7">
      <c r="A6" s="15" t="s">
        <v>19</v>
      </c>
      <c r="B6" s="24"/>
      <c r="C6" s="24"/>
      <c r="D6" s="15"/>
      <c r="E6" s="2"/>
      <c r="F6" s="2"/>
      <c r="G6" s="2"/>
    </row>
    <row r="7" spans="1:7" ht="28.5">
      <c r="A7" s="22" t="s">
        <v>22</v>
      </c>
      <c r="B7" s="24">
        <f>SUM(D25)/B40</f>
        <v>1175000</v>
      </c>
      <c r="C7" s="24" t="s">
        <v>95</v>
      </c>
      <c r="D7" s="15" t="s">
        <v>92</v>
      </c>
      <c r="E7" s="2"/>
      <c r="F7" s="2"/>
      <c r="G7" s="2"/>
    </row>
    <row r="8" spans="1:7" ht="28.5">
      <c r="A8" s="22" t="s">
        <v>5</v>
      </c>
      <c r="B8" s="24">
        <f>SUM(D27:D30)/B40</f>
        <v>1562500</v>
      </c>
      <c r="C8" s="24" t="s">
        <v>95</v>
      </c>
      <c r="D8" s="15" t="s">
        <v>92</v>
      </c>
      <c r="E8" s="2"/>
      <c r="F8" s="2"/>
      <c r="G8" s="2"/>
    </row>
    <row r="9" spans="1:7" ht="28.5">
      <c r="A9" s="22" t="s">
        <v>210</v>
      </c>
      <c r="B9" s="25">
        <f>D31/B40</f>
        <v>37500</v>
      </c>
      <c r="C9" s="24" t="s">
        <v>95</v>
      </c>
      <c r="D9" s="15" t="s">
        <v>92</v>
      </c>
    </row>
    <row r="10" spans="1:7">
      <c r="A10" s="15" t="s">
        <v>84</v>
      </c>
      <c r="B10" s="24"/>
      <c r="C10" s="24"/>
      <c r="D10" s="15"/>
      <c r="E10" s="2"/>
      <c r="F10" s="2"/>
      <c r="G10" s="2"/>
    </row>
    <row r="11" spans="1:7">
      <c r="A11" s="22" t="s">
        <v>13</v>
      </c>
      <c r="B11" s="15">
        <v>0</v>
      </c>
      <c r="C11" s="24" t="s">
        <v>95</v>
      </c>
      <c r="D11" s="15" t="s">
        <v>93</v>
      </c>
    </row>
    <row r="12" spans="1:7" ht="28.5">
      <c r="A12" s="22" t="s">
        <v>76</v>
      </c>
      <c r="B12" s="25">
        <f>D38/B40</f>
        <v>56250</v>
      </c>
      <c r="C12" s="24" t="s">
        <v>95</v>
      </c>
      <c r="D12" s="15" t="s">
        <v>212</v>
      </c>
    </row>
    <row r="13" spans="1:7" ht="28.5">
      <c r="A13" s="22" t="s">
        <v>69</v>
      </c>
      <c r="B13" s="25">
        <f>SUM(D33,D35,D36,D37)/B40</f>
        <v>18750</v>
      </c>
      <c r="C13" s="24" t="s">
        <v>95</v>
      </c>
      <c r="D13" s="15" t="s">
        <v>92</v>
      </c>
    </row>
    <row r="14" spans="1:7" s="32" customFormat="1" ht="71.25">
      <c r="A14" s="22" t="s">
        <v>201</v>
      </c>
      <c r="B14" s="25">
        <f>SUM(B7:B9)*0.7/10*0.13</f>
        <v>25252.499999999996</v>
      </c>
      <c r="C14" s="24" t="s">
        <v>15</v>
      </c>
      <c r="D14" s="30" t="s">
        <v>274</v>
      </c>
    </row>
    <row r="16" spans="1:7" ht="15">
      <c r="A16" s="100" t="s">
        <v>278</v>
      </c>
    </row>
    <row r="17" spans="1:11">
      <c r="A17" s="15" t="s">
        <v>4</v>
      </c>
      <c r="B17" s="18"/>
      <c r="C17" s="18"/>
      <c r="D17" s="18">
        <f>12*300</f>
        <v>3600</v>
      </c>
      <c r="E17" s="18" t="s">
        <v>90</v>
      </c>
      <c r="F17" s="18">
        <f>30*300</f>
        <v>9000</v>
      </c>
      <c r="G17" s="9" t="s">
        <v>90</v>
      </c>
      <c r="H17" s="18">
        <f>60*300</f>
        <v>18000</v>
      </c>
      <c r="I17" s="9" t="s">
        <v>90</v>
      </c>
    </row>
    <row r="18" spans="1:11">
      <c r="A18" s="15" t="s">
        <v>276</v>
      </c>
      <c r="B18" s="135">
        <v>300</v>
      </c>
      <c r="C18" s="136"/>
      <c r="D18" s="136"/>
      <c r="E18" s="136"/>
      <c r="F18" s="136"/>
      <c r="G18" s="136"/>
      <c r="H18" s="136"/>
      <c r="I18" s="137"/>
    </row>
    <row r="19" spans="1:11">
      <c r="A19" s="15" t="s">
        <v>277</v>
      </c>
      <c r="B19" s="138">
        <v>10</v>
      </c>
      <c r="C19" s="139"/>
      <c r="D19" s="139"/>
      <c r="E19" s="139"/>
      <c r="F19" s="139"/>
      <c r="G19" s="139"/>
      <c r="H19" s="139"/>
      <c r="I19" s="140"/>
    </row>
    <row r="20" spans="1:11" ht="28.5">
      <c r="A20" s="15" t="s">
        <v>6</v>
      </c>
      <c r="B20" s="9"/>
      <c r="C20" s="9"/>
      <c r="D20" s="9">
        <v>120</v>
      </c>
      <c r="E20" s="9" t="s">
        <v>82</v>
      </c>
      <c r="F20" s="9">
        <v>180</v>
      </c>
      <c r="G20" s="9" t="s">
        <v>82</v>
      </c>
      <c r="H20" s="9">
        <v>400</v>
      </c>
      <c r="I20" s="20" t="s">
        <v>82</v>
      </c>
    </row>
    <row r="21" spans="1:11">
      <c r="A21" s="15" t="s">
        <v>85</v>
      </c>
      <c r="B21" s="9"/>
      <c r="C21" s="9"/>
      <c r="D21" s="10">
        <f>D20*$B$19*$B$18</f>
        <v>360000</v>
      </c>
      <c r="E21" s="9" t="s">
        <v>101</v>
      </c>
      <c r="F21" s="10">
        <f>F20*$B$19*$B$18</f>
        <v>540000</v>
      </c>
      <c r="G21" s="9" t="s">
        <v>101</v>
      </c>
      <c r="H21" s="10">
        <f>H20*$B$19*$B$18</f>
        <v>1200000</v>
      </c>
      <c r="I21" s="9" t="s">
        <v>101</v>
      </c>
    </row>
    <row r="22" spans="1:11">
      <c r="A22" s="9" t="s">
        <v>100</v>
      </c>
      <c r="B22" s="9"/>
      <c r="C22" s="9"/>
      <c r="D22" s="82" t="s">
        <v>245</v>
      </c>
      <c r="E22" s="82"/>
      <c r="F22" s="82" t="s">
        <v>78</v>
      </c>
      <c r="G22" s="82"/>
      <c r="H22" s="82" t="s">
        <v>78</v>
      </c>
      <c r="I22" s="9"/>
    </row>
    <row r="23" spans="1:11">
      <c r="A23" s="9" t="s">
        <v>19</v>
      </c>
      <c r="B23" s="9"/>
      <c r="C23" s="82" t="s">
        <v>73</v>
      </c>
      <c r="D23" s="90"/>
      <c r="E23" s="82" t="s">
        <v>16</v>
      </c>
      <c r="F23" s="90"/>
      <c r="G23" s="82" t="s">
        <v>16</v>
      </c>
      <c r="H23" s="10"/>
      <c r="I23" s="9"/>
    </row>
    <row r="24" spans="1:11">
      <c r="A24" s="11" t="s">
        <v>60</v>
      </c>
      <c r="B24" s="9"/>
      <c r="C24" s="9">
        <v>1</v>
      </c>
      <c r="D24" s="10">
        <v>2000000</v>
      </c>
      <c r="E24" s="10">
        <v>1</v>
      </c>
      <c r="F24" s="10">
        <v>5000000</v>
      </c>
      <c r="G24" s="10">
        <v>1</v>
      </c>
      <c r="H24" s="10">
        <v>5000000</v>
      </c>
      <c r="I24" s="10"/>
    </row>
    <row r="25" spans="1:11">
      <c r="A25" s="11" t="s">
        <v>61</v>
      </c>
      <c r="B25" s="9"/>
      <c r="C25" s="9">
        <v>1</v>
      </c>
      <c r="D25" s="10">
        <v>94000000</v>
      </c>
      <c r="E25" s="10">
        <v>1</v>
      </c>
      <c r="F25" s="10">
        <v>126000000</v>
      </c>
      <c r="G25" s="10">
        <v>1</v>
      </c>
      <c r="H25" s="10">
        <v>177000000</v>
      </c>
      <c r="I25" s="9"/>
    </row>
    <row r="26" spans="1:11">
      <c r="A26" s="11" t="s">
        <v>62</v>
      </c>
      <c r="B26" s="9"/>
      <c r="C26" s="9"/>
      <c r="D26" s="10"/>
      <c r="E26" s="10"/>
      <c r="F26" s="10"/>
      <c r="G26" s="10"/>
      <c r="H26" s="10"/>
      <c r="I26" s="9"/>
    </row>
    <row r="27" spans="1:11">
      <c r="A27" s="11"/>
      <c r="B27" s="19" t="s">
        <v>66</v>
      </c>
      <c r="C27" s="19">
        <v>1</v>
      </c>
      <c r="D27" s="10">
        <v>55000000</v>
      </c>
      <c r="E27" s="10">
        <v>1</v>
      </c>
      <c r="F27" s="10">
        <v>60000000</v>
      </c>
      <c r="G27" s="10">
        <v>2</v>
      </c>
      <c r="H27" s="10">
        <f>60000000*G27</f>
        <v>120000000</v>
      </c>
      <c r="I27" s="9"/>
    </row>
    <row r="28" spans="1:11">
      <c r="A28" s="9"/>
      <c r="B28" s="9" t="s">
        <v>63</v>
      </c>
      <c r="C28" s="19">
        <v>1</v>
      </c>
      <c r="D28" s="10">
        <v>35000000</v>
      </c>
      <c r="E28" s="10">
        <v>1</v>
      </c>
      <c r="F28" s="10">
        <v>70000000</v>
      </c>
      <c r="G28" s="10">
        <v>1</v>
      </c>
      <c r="H28" s="10">
        <v>70000000</v>
      </c>
      <c r="I28" s="9"/>
    </row>
    <row r="29" spans="1:11">
      <c r="A29" s="9"/>
      <c r="B29" s="9" t="s">
        <v>64</v>
      </c>
      <c r="C29" s="19">
        <v>1</v>
      </c>
      <c r="D29" s="10">
        <v>25000000</v>
      </c>
      <c r="E29" s="10">
        <v>1</v>
      </c>
      <c r="F29" s="10">
        <v>50000000</v>
      </c>
      <c r="G29" s="10">
        <v>1</v>
      </c>
      <c r="H29" s="10">
        <v>50000000</v>
      </c>
      <c r="I29" s="9"/>
    </row>
    <row r="30" spans="1:11">
      <c r="A30" s="9"/>
      <c r="B30" s="9" t="s">
        <v>65</v>
      </c>
      <c r="C30" s="19">
        <v>1</v>
      </c>
      <c r="D30" s="10">
        <v>10000000</v>
      </c>
      <c r="E30" s="10">
        <v>1</v>
      </c>
      <c r="F30" s="10">
        <v>20000000</v>
      </c>
      <c r="G30" s="10">
        <v>1</v>
      </c>
      <c r="H30" s="10">
        <v>20000000</v>
      </c>
      <c r="I30" s="9"/>
      <c r="K30" s="6"/>
    </row>
    <row r="31" spans="1:11">
      <c r="A31" s="11" t="s">
        <v>77</v>
      </c>
      <c r="B31" s="9"/>
      <c r="C31" s="9"/>
      <c r="D31" s="10">
        <v>3000000</v>
      </c>
      <c r="E31" s="10"/>
      <c r="F31" s="10">
        <v>3000000</v>
      </c>
      <c r="G31" s="10">
        <v>1</v>
      </c>
      <c r="H31" s="10">
        <v>7000000</v>
      </c>
      <c r="I31" s="9"/>
    </row>
    <row r="32" spans="1:11">
      <c r="A32" s="9" t="s">
        <v>67</v>
      </c>
      <c r="B32" s="20"/>
      <c r="C32" s="9"/>
      <c r="D32" s="9"/>
      <c r="E32" s="9"/>
      <c r="F32" s="10"/>
      <c r="G32" s="10"/>
      <c r="H32" s="10"/>
      <c r="I32" s="10" t="s">
        <v>74</v>
      </c>
      <c r="J32" s="14"/>
      <c r="K32" s="14"/>
    </row>
    <row r="33" spans="1:9">
      <c r="A33" s="11" t="s">
        <v>69</v>
      </c>
      <c r="B33" s="20" t="s">
        <v>249</v>
      </c>
      <c r="C33" s="9">
        <v>1</v>
      </c>
      <c r="D33" s="10">
        <f>C33*I33*$B$18</f>
        <v>300000</v>
      </c>
      <c r="E33" s="10">
        <v>1</v>
      </c>
      <c r="F33" s="10">
        <f>E33*I33*$B$18</f>
        <v>300000</v>
      </c>
      <c r="G33" s="10">
        <v>2</v>
      </c>
      <c r="H33" s="10">
        <f>G33*I33*$B$18</f>
        <v>600000</v>
      </c>
      <c r="I33" s="23">
        <v>1000</v>
      </c>
    </row>
    <row r="34" spans="1:9">
      <c r="A34" s="9"/>
      <c r="B34" s="20" t="s">
        <v>70</v>
      </c>
      <c r="C34" s="9">
        <v>1</v>
      </c>
      <c r="D34" s="10">
        <f>C34*I34*$B$18</f>
        <v>150000</v>
      </c>
      <c r="E34" s="10">
        <v>1</v>
      </c>
      <c r="F34" s="10">
        <f>E34*I34*$B$18</f>
        <v>150000</v>
      </c>
      <c r="G34" s="10">
        <v>2</v>
      </c>
      <c r="H34" s="10">
        <f>G34*I34*$B$18</f>
        <v>300000</v>
      </c>
      <c r="I34" s="10">
        <v>500</v>
      </c>
    </row>
    <row r="35" spans="1:9">
      <c r="A35" s="9"/>
      <c r="B35" s="20" t="s">
        <v>71</v>
      </c>
      <c r="C35" s="9">
        <v>4</v>
      </c>
      <c r="D35" s="10">
        <f>C35*I35*$B$18</f>
        <v>600000</v>
      </c>
      <c r="E35" s="10">
        <v>8</v>
      </c>
      <c r="F35" s="10">
        <f>E35*I35*$B$18</f>
        <v>1200000</v>
      </c>
      <c r="G35" s="9">
        <v>16</v>
      </c>
      <c r="H35" s="10">
        <f>G35*I35*$B$18</f>
        <v>2400000</v>
      </c>
      <c r="I35" s="10">
        <v>500</v>
      </c>
    </row>
    <row r="36" spans="1:9">
      <c r="A36" s="9"/>
      <c r="B36" s="20" t="s">
        <v>250</v>
      </c>
      <c r="C36" s="9">
        <v>1</v>
      </c>
      <c r="D36" s="10">
        <f>C36*I36*$B$18</f>
        <v>300000</v>
      </c>
      <c r="E36" s="10">
        <v>1</v>
      </c>
      <c r="F36" s="10">
        <f>E36*I36*$B$18</f>
        <v>300000</v>
      </c>
      <c r="G36" s="10">
        <v>2</v>
      </c>
      <c r="H36" s="10">
        <f>G36*I36*$B$18</f>
        <v>600000</v>
      </c>
      <c r="I36" s="10">
        <v>1000</v>
      </c>
    </row>
    <row r="37" spans="1:9">
      <c r="A37" s="9"/>
      <c r="B37" s="20" t="s">
        <v>72</v>
      </c>
      <c r="C37" s="9">
        <v>2</v>
      </c>
      <c r="D37" s="10">
        <f>C37*I37*$B$18</f>
        <v>300000</v>
      </c>
      <c r="E37" s="10">
        <v>2</v>
      </c>
      <c r="F37" s="10">
        <f>E37*I37*$B$18</f>
        <v>300000</v>
      </c>
      <c r="G37" s="10">
        <v>4</v>
      </c>
      <c r="H37" s="10">
        <f>G37*I37*$B$18</f>
        <v>600000</v>
      </c>
      <c r="I37" s="10">
        <v>500</v>
      </c>
    </row>
    <row r="38" spans="1:9">
      <c r="A38" s="9" t="s">
        <v>76</v>
      </c>
      <c r="B38" s="9"/>
      <c r="C38" s="9"/>
      <c r="D38" s="10">
        <v>4500000</v>
      </c>
      <c r="E38" s="10"/>
      <c r="F38" s="10">
        <v>6700000</v>
      </c>
      <c r="G38" s="9"/>
      <c r="H38" s="10">
        <v>8900000</v>
      </c>
      <c r="I38" s="9"/>
    </row>
    <row r="39" spans="1:9">
      <c r="A39" t="s">
        <v>79</v>
      </c>
    </row>
    <row r="40" spans="1:9">
      <c r="A40" t="s">
        <v>80</v>
      </c>
      <c r="B40">
        <v>80</v>
      </c>
      <c r="C40" s="16"/>
    </row>
  </sheetData>
  <mergeCells count="2">
    <mergeCell ref="B18:I18"/>
    <mergeCell ref="B19:I19"/>
  </mergeCells>
  <phoneticPr fontId="3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H29"/>
  <sheetViews>
    <sheetView workbookViewId="0"/>
  </sheetViews>
  <sheetFormatPr defaultRowHeight="14.25"/>
  <cols>
    <col min="1" max="1" width="28.5" customWidth="1"/>
    <col min="2" max="5" width="20" customWidth="1"/>
    <col min="6" max="8" width="12.25" bestFit="1" customWidth="1"/>
  </cols>
  <sheetData>
    <row r="2" spans="1:8" ht="15">
      <c r="A2" s="101" t="s">
        <v>318</v>
      </c>
    </row>
    <row r="3" spans="1:8" ht="15">
      <c r="A3" s="141" t="s">
        <v>256</v>
      </c>
      <c r="B3" s="117" t="s">
        <v>257</v>
      </c>
      <c r="C3" s="117" t="s">
        <v>0</v>
      </c>
      <c r="D3" s="117" t="s">
        <v>1</v>
      </c>
      <c r="E3" s="117" t="s">
        <v>2</v>
      </c>
      <c r="F3" s="15"/>
      <c r="G3" s="1"/>
    </row>
    <row r="4" spans="1:8" ht="60">
      <c r="A4" s="141"/>
      <c r="B4" s="99" t="s">
        <v>258</v>
      </c>
      <c r="C4" s="99" t="s">
        <v>259</v>
      </c>
      <c r="D4" s="99" t="s">
        <v>260</v>
      </c>
      <c r="E4" s="99" t="s">
        <v>261</v>
      </c>
      <c r="F4" s="15"/>
      <c r="G4" s="1"/>
    </row>
    <row r="5" spans="1:8" ht="60">
      <c r="A5" s="99" t="s">
        <v>262</v>
      </c>
      <c r="B5" s="78">
        <f>Sample!F74</f>
        <v>5.4165573724454061E-2</v>
      </c>
      <c r="C5" s="78">
        <f>Sample!F75</f>
        <v>3.5999999999999997E-2</v>
      </c>
      <c r="D5" s="78">
        <f>Sample!F76</f>
        <v>1.6202879999999999E-2</v>
      </c>
      <c r="E5" s="15">
        <v>0</v>
      </c>
      <c r="F5" s="15" t="s">
        <v>187</v>
      </c>
      <c r="G5" s="1"/>
    </row>
    <row r="6" spans="1:8" ht="15">
      <c r="A6" s="99" t="s">
        <v>263</v>
      </c>
      <c r="B6" s="79">
        <v>4000</v>
      </c>
      <c r="C6" s="10">
        <v>4800</v>
      </c>
      <c r="D6" s="10">
        <v>4000</v>
      </c>
      <c r="E6" s="10">
        <f>Tech4!B3</f>
        <v>3600</v>
      </c>
      <c r="F6" s="18" t="s">
        <v>90</v>
      </c>
      <c r="G6" s="2"/>
      <c r="H6" s="2"/>
    </row>
    <row r="7" spans="1:8" ht="30">
      <c r="A7" s="99" t="s">
        <v>267</v>
      </c>
      <c r="B7" s="9" t="s">
        <v>209</v>
      </c>
      <c r="C7" s="15" t="s">
        <v>332</v>
      </c>
      <c r="D7" s="15" t="s">
        <v>197</v>
      </c>
      <c r="E7" s="15" t="s">
        <v>196</v>
      </c>
      <c r="F7" s="26"/>
      <c r="G7" s="6"/>
    </row>
    <row r="8" spans="1:8" ht="15">
      <c r="A8" s="142" t="s">
        <v>331</v>
      </c>
      <c r="B8" s="143"/>
      <c r="C8" s="143"/>
      <c r="D8" s="143"/>
      <c r="E8" s="143"/>
      <c r="F8" s="144"/>
      <c r="G8" s="2"/>
      <c r="H8" s="2"/>
    </row>
    <row r="9" spans="1:8">
      <c r="A9" s="22" t="s">
        <v>22</v>
      </c>
      <c r="B9" s="80">
        <f>Tech1!B8</f>
        <v>177500</v>
      </c>
      <c r="C9" s="80">
        <f>Tech2!B9</f>
        <v>1175000</v>
      </c>
      <c r="D9" s="80">
        <f>Tech3!B9</f>
        <v>177500</v>
      </c>
      <c r="E9" s="81">
        <f>Tech4!B7</f>
        <v>1175000</v>
      </c>
      <c r="F9" s="18" t="s">
        <v>242</v>
      </c>
      <c r="G9" s="2"/>
      <c r="H9" s="2"/>
    </row>
    <row r="10" spans="1:8">
      <c r="A10" s="22" t="s">
        <v>5</v>
      </c>
      <c r="B10" s="18">
        <f>Tech1!B10</f>
        <v>10000</v>
      </c>
      <c r="C10" s="80">
        <f>Tech2!B10</f>
        <v>0</v>
      </c>
      <c r="D10" s="80">
        <f>SUM(Tech3!B10:B12)</f>
        <v>108500</v>
      </c>
      <c r="E10" s="81">
        <f>Tech4!B8</f>
        <v>1562500</v>
      </c>
      <c r="F10" s="18" t="s">
        <v>242</v>
      </c>
      <c r="G10" s="2"/>
      <c r="H10" s="2"/>
    </row>
    <row r="11" spans="1:8" s="32" customFormat="1">
      <c r="A11" s="22" t="s">
        <v>77</v>
      </c>
      <c r="B11" s="106" t="s">
        <v>194</v>
      </c>
      <c r="C11" s="80">
        <f>Tech2!B11</f>
        <v>18750</v>
      </c>
      <c r="D11" s="79">
        <f>Tech3!B13</f>
        <v>10000</v>
      </c>
      <c r="E11" s="81">
        <f>Tech4!B9</f>
        <v>37500</v>
      </c>
      <c r="F11" s="18" t="s">
        <v>242</v>
      </c>
      <c r="G11" s="2"/>
      <c r="H11" s="2"/>
    </row>
    <row r="12" spans="1:8" ht="15">
      <c r="A12" s="107" t="s">
        <v>264</v>
      </c>
      <c r="B12" s="108">
        <f>SUM(B9:B11)</f>
        <v>187500</v>
      </c>
      <c r="C12" s="108">
        <f t="shared" ref="C12:E12" si="0">SUM(C9:C11)</f>
        <v>1193750</v>
      </c>
      <c r="D12" s="108">
        <f t="shared" si="0"/>
        <v>296000</v>
      </c>
      <c r="E12" s="108">
        <f t="shared" si="0"/>
        <v>2775000</v>
      </c>
      <c r="F12" s="9" t="s">
        <v>243</v>
      </c>
    </row>
    <row r="13" spans="1:8" s="32" customFormat="1" ht="30">
      <c r="A13" s="99" t="s">
        <v>328</v>
      </c>
      <c r="B13" s="108">
        <f>B12/B6</f>
        <v>46.875</v>
      </c>
      <c r="C13" s="108">
        <f t="shared" ref="C13:E13" si="1">C12/C6</f>
        <v>248.69791666666666</v>
      </c>
      <c r="D13" s="108">
        <f t="shared" si="1"/>
        <v>74</v>
      </c>
      <c r="E13" s="108">
        <f t="shared" si="1"/>
        <v>770.83333333333337</v>
      </c>
      <c r="F13" s="9" t="s">
        <v>330</v>
      </c>
    </row>
    <row r="14" spans="1:8" ht="15">
      <c r="A14" s="142" t="s">
        <v>265</v>
      </c>
      <c r="B14" s="143"/>
      <c r="C14" s="143"/>
      <c r="D14" s="143"/>
      <c r="E14" s="143"/>
      <c r="F14" s="144"/>
      <c r="G14" s="2"/>
      <c r="H14" s="2"/>
    </row>
    <row r="15" spans="1:8">
      <c r="A15" s="11" t="s">
        <v>275</v>
      </c>
      <c r="B15" s="10">
        <f>Tech1!B14</f>
        <v>78792</v>
      </c>
      <c r="C15" s="10">
        <f>Tech2!B14</f>
        <v>120960.00000000001</v>
      </c>
      <c r="D15" s="80">
        <f>Tech3!B18</f>
        <v>28224</v>
      </c>
      <c r="E15" s="9">
        <f>Tech4!B11</f>
        <v>0</v>
      </c>
      <c r="F15" s="9" t="s">
        <v>242</v>
      </c>
    </row>
    <row r="16" spans="1:8">
      <c r="A16" s="11" t="s">
        <v>12</v>
      </c>
      <c r="B16" s="80">
        <f>Tech1!B15</f>
        <v>9861.5</v>
      </c>
      <c r="C16" s="80">
        <f>Tech2!B15</f>
        <v>28125</v>
      </c>
      <c r="D16" s="80">
        <f>SUM(Tech3!B20:B21)</f>
        <v>44661.5</v>
      </c>
      <c r="E16" s="80">
        <f>Tech4!B12</f>
        <v>56250</v>
      </c>
      <c r="F16" s="9" t="s">
        <v>242</v>
      </c>
    </row>
    <row r="17" spans="1:6">
      <c r="A17" s="11" t="s">
        <v>138</v>
      </c>
      <c r="B17" s="80">
        <f>Tech1!B16</f>
        <v>4800</v>
      </c>
      <c r="C17" s="80">
        <f>Tech2!B16</f>
        <v>15000</v>
      </c>
      <c r="D17" s="80">
        <f>SUM(Tech3!B23:B24)</f>
        <v>8000</v>
      </c>
      <c r="E17" s="80">
        <f>Tech4!B13</f>
        <v>18750</v>
      </c>
      <c r="F17" s="9" t="s">
        <v>242</v>
      </c>
    </row>
    <row r="18" spans="1:6" s="32" customFormat="1">
      <c r="A18" s="11" t="s">
        <v>205</v>
      </c>
      <c r="B18" s="80">
        <f>Tech1!B17</f>
        <v>1706.25</v>
      </c>
      <c r="C18" s="80">
        <f>Tech2!B17</f>
        <v>10863.125</v>
      </c>
      <c r="D18" s="80">
        <f>SUM(Tech3!B24:B25)</f>
        <v>7493.6</v>
      </c>
      <c r="E18" s="80">
        <f>Tech4!B14</f>
        <v>25252.499999999996</v>
      </c>
      <c r="F18" s="9" t="s">
        <v>242</v>
      </c>
    </row>
    <row r="19" spans="1:6" ht="15">
      <c r="A19" s="111" t="s">
        <v>266</v>
      </c>
      <c r="B19" s="108">
        <f>SUM(B15:B18)</f>
        <v>95159.75</v>
      </c>
      <c r="C19" s="108">
        <f t="shared" ref="C19:E19" si="2">SUM(C15:C18)</f>
        <v>174948.125</v>
      </c>
      <c r="D19" s="108">
        <f t="shared" si="2"/>
        <v>88379.1</v>
      </c>
      <c r="E19" s="108">
        <f t="shared" si="2"/>
        <v>100252.5</v>
      </c>
      <c r="F19" s="9" t="s">
        <v>242</v>
      </c>
    </row>
    <row r="20" spans="1:6" s="32" customFormat="1" ht="30">
      <c r="A20" s="116" t="s">
        <v>329</v>
      </c>
      <c r="B20" s="108">
        <f>B19/B6</f>
        <v>23.789937500000001</v>
      </c>
      <c r="C20" s="108">
        <f t="shared" ref="C20:D20" si="3">C19/C6</f>
        <v>36.44752604166667</v>
      </c>
      <c r="D20" s="108">
        <f t="shared" si="3"/>
        <v>22.094775000000002</v>
      </c>
      <c r="E20" s="108">
        <f>E19/E6</f>
        <v>27.847916666666666</v>
      </c>
      <c r="F20" s="20" t="s">
        <v>330</v>
      </c>
    </row>
    <row r="21" spans="1:6">
      <c r="A21" s="91" t="s">
        <v>246</v>
      </c>
      <c r="D21" s="21"/>
    </row>
    <row r="22" spans="1:6">
      <c r="A22" s="91" t="s">
        <v>247</v>
      </c>
    </row>
    <row r="23" spans="1:6">
      <c r="A23" s="91" t="s">
        <v>248</v>
      </c>
    </row>
    <row r="24" spans="1:6">
      <c r="A24" s="91" t="s">
        <v>268</v>
      </c>
    </row>
    <row r="25" spans="1:6">
      <c r="A25" s="17"/>
      <c r="B25" s="6"/>
      <c r="C25" s="6"/>
      <c r="D25" s="6"/>
      <c r="E25" s="6"/>
    </row>
    <row r="26" spans="1:6">
      <c r="B26" s="6"/>
      <c r="C26" s="6"/>
      <c r="D26" s="6"/>
      <c r="E26" s="6"/>
    </row>
    <row r="28" spans="1:6">
      <c r="B28" s="21"/>
      <c r="C28" s="21"/>
      <c r="D28" s="21"/>
      <c r="E28" s="21"/>
    </row>
    <row r="29" spans="1:6">
      <c r="B29" s="57"/>
      <c r="C29" s="57"/>
      <c r="D29" s="57"/>
      <c r="E29" s="57"/>
    </row>
  </sheetData>
  <mergeCells count="3">
    <mergeCell ref="A3:A4"/>
    <mergeCell ref="A14:F14"/>
    <mergeCell ref="A8:F8"/>
  </mergeCells>
  <phoneticPr fontId="3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4.25"/>
  <cols>
    <col min="1" max="1" width="15.375" style="32" customWidth="1"/>
    <col min="2" max="2" width="18" customWidth="1"/>
    <col min="4" max="4" width="10.5" bestFit="1" customWidth="1"/>
    <col min="5" max="5" width="15.25" customWidth="1"/>
    <col min="10" max="12" width="9" style="6"/>
    <col min="13" max="13" width="9.25" style="60" customWidth="1"/>
    <col min="14" max="14" width="12.75" style="7" bestFit="1" customWidth="1"/>
  </cols>
  <sheetData>
    <row r="1" spans="1:15" s="32" customFormat="1" ht="15">
      <c r="A1" s="101" t="s">
        <v>322</v>
      </c>
      <c r="J1" s="6"/>
      <c r="K1" s="6"/>
      <c r="L1" s="6"/>
      <c r="M1" s="60"/>
      <c r="N1" s="7"/>
    </row>
    <row r="2" spans="1:15" s="31" customFormat="1" ht="71.25">
      <c r="A2" s="15" t="s">
        <v>226</v>
      </c>
      <c r="B2" s="15" t="s">
        <v>214</v>
      </c>
      <c r="C2" s="15" t="s">
        <v>301</v>
      </c>
      <c r="D2" s="15" t="s">
        <v>298</v>
      </c>
      <c r="E2" s="15" t="s">
        <v>223</v>
      </c>
      <c r="F2" s="15" t="s">
        <v>302</v>
      </c>
      <c r="G2" s="15" t="s">
        <v>228</v>
      </c>
      <c r="H2" s="15" t="s">
        <v>227</v>
      </c>
      <c r="I2" s="15" t="s">
        <v>304</v>
      </c>
      <c r="J2" s="4" t="s">
        <v>314</v>
      </c>
      <c r="K2" s="26" t="s">
        <v>310</v>
      </c>
      <c r="L2" s="26" t="s">
        <v>233</v>
      </c>
      <c r="M2" s="58" t="s">
        <v>313</v>
      </c>
      <c r="N2" s="15" t="s">
        <v>234</v>
      </c>
    </row>
    <row r="3" spans="1:15">
      <c r="A3" s="9">
        <v>1</v>
      </c>
      <c r="B3" s="9" t="s">
        <v>8</v>
      </c>
      <c r="C3" s="9">
        <v>8</v>
      </c>
      <c r="D3" s="9">
        <v>200</v>
      </c>
      <c r="E3" s="9" t="s">
        <v>224</v>
      </c>
      <c r="F3" s="9"/>
      <c r="G3" s="9">
        <v>225</v>
      </c>
      <c r="H3" s="9"/>
      <c r="I3" s="9">
        <v>150</v>
      </c>
      <c r="J3" s="10">
        <f>C3*D3</f>
        <v>1600</v>
      </c>
      <c r="K3" s="10">
        <f>D3*I3</f>
        <v>30000</v>
      </c>
      <c r="L3" s="10"/>
      <c r="M3" s="61">
        <f>K3/J3</f>
        <v>18.75</v>
      </c>
      <c r="N3" s="69">
        <f>K3*$C$67*$C$68/1000/J3</f>
        <v>5.0634000000000005E-2</v>
      </c>
      <c r="O3" s="6"/>
    </row>
    <row r="4" spans="1:15">
      <c r="A4" s="9">
        <v>2</v>
      </c>
      <c r="B4" s="9" t="s">
        <v>8</v>
      </c>
      <c r="C4" s="9">
        <v>15</v>
      </c>
      <c r="D4" s="9">
        <v>180</v>
      </c>
      <c r="E4" s="9" t="s">
        <v>224</v>
      </c>
      <c r="F4" s="9"/>
      <c r="G4" s="9">
        <v>225</v>
      </c>
      <c r="H4" s="9"/>
      <c r="I4" s="9">
        <v>200</v>
      </c>
      <c r="J4" s="10">
        <f t="shared" ref="J4:J65" si="0">C4*D4</f>
        <v>2700</v>
      </c>
      <c r="K4" s="10">
        <f t="shared" ref="K4:K65" si="1">D4*I4</f>
        <v>36000</v>
      </c>
      <c r="L4" s="10"/>
      <c r="M4" s="61">
        <f t="shared" ref="M4:M65" si="2">K4/J4</f>
        <v>13.333333333333334</v>
      </c>
      <c r="N4" s="69">
        <f t="shared" ref="N4:N46" si="3">K4*$C$67*$C$68/1000/J4</f>
        <v>3.6006400000000001E-2</v>
      </c>
      <c r="O4" s="6"/>
    </row>
    <row r="5" spans="1:15">
      <c r="A5" s="9">
        <v>3</v>
      </c>
      <c r="B5" s="9" t="s">
        <v>8</v>
      </c>
      <c r="C5" s="9">
        <v>15</v>
      </c>
      <c r="D5" s="9">
        <v>200</v>
      </c>
      <c r="E5" s="9" t="s">
        <v>224</v>
      </c>
      <c r="F5" s="9">
        <v>30</v>
      </c>
      <c r="G5" s="9">
        <v>225</v>
      </c>
      <c r="H5" s="9">
        <v>30</v>
      </c>
      <c r="I5" s="9">
        <v>120</v>
      </c>
      <c r="J5" s="10">
        <f t="shared" si="0"/>
        <v>3000</v>
      </c>
      <c r="K5" s="10">
        <f t="shared" si="1"/>
        <v>24000</v>
      </c>
      <c r="L5" s="10">
        <f t="shared" ref="L5:L57" si="4">D5*F5/1000</f>
        <v>6</v>
      </c>
      <c r="M5" s="61">
        <f t="shared" si="2"/>
        <v>8</v>
      </c>
      <c r="N5" s="69">
        <f t="shared" si="3"/>
        <v>2.1603839999999999E-2</v>
      </c>
      <c r="O5" s="6"/>
    </row>
    <row r="6" spans="1:15">
      <c r="A6" s="9">
        <v>4</v>
      </c>
      <c r="B6" s="9" t="s">
        <v>8</v>
      </c>
      <c r="C6" s="9">
        <v>15</v>
      </c>
      <c r="D6" s="9">
        <v>200</v>
      </c>
      <c r="E6" s="9" t="s">
        <v>224</v>
      </c>
      <c r="F6" s="9">
        <v>240</v>
      </c>
      <c r="G6" s="9">
        <v>340</v>
      </c>
      <c r="H6" s="9">
        <v>260</v>
      </c>
      <c r="I6" s="9">
        <v>280</v>
      </c>
      <c r="J6" s="10">
        <f t="shared" si="0"/>
        <v>3000</v>
      </c>
      <c r="K6" s="10">
        <f t="shared" si="1"/>
        <v>56000</v>
      </c>
      <c r="L6" s="10">
        <f t="shared" si="4"/>
        <v>48</v>
      </c>
      <c r="M6" s="61">
        <f t="shared" si="2"/>
        <v>18.666666666666668</v>
      </c>
      <c r="N6" s="69">
        <f t="shared" si="3"/>
        <v>5.0408959999999996E-2</v>
      </c>
      <c r="O6" s="6"/>
    </row>
    <row r="7" spans="1:15">
      <c r="A7" s="9">
        <v>5</v>
      </c>
      <c r="B7" s="9" t="s">
        <v>8</v>
      </c>
      <c r="C7" s="9">
        <v>20</v>
      </c>
      <c r="D7" s="9">
        <v>200</v>
      </c>
      <c r="E7" s="9" t="s">
        <v>225</v>
      </c>
      <c r="F7" s="9"/>
      <c r="G7" s="9">
        <v>340</v>
      </c>
      <c r="H7" s="9"/>
      <c r="I7" s="9">
        <v>120</v>
      </c>
      <c r="J7" s="10">
        <f t="shared" si="0"/>
        <v>4000</v>
      </c>
      <c r="K7" s="10">
        <f t="shared" si="1"/>
        <v>24000</v>
      </c>
      <c r="L7" s="10"/>
      <c r="M7" s="61">
        <f t="shared" si="2"/>
        <v>6</v>
      </c>
      <c r="N7" s="69">
        <f t="shared" si="3"/>
        <v>1.6202879999999999E-2</v>
      </c>
      <c r="O7" s="6"/>
    </row>
    <row r="8" spans="1:15">
      <c r="A8" s="9">
        <v>6</v>
      </c>
      <c r="B8" s="9" t="s">
        <v>217</v>
      </c>
      <c r="C8" s="9">
        <v>1</v>
      </c>
      <c r="D8" s="9">
        <v>100</v>
      </c>
      <c r="E8" s="9" t="s">
        <v>224</v>
      </c>
      <c r="F8" s="9"/>
      <c r="G8" s="9"/>
      <c r="H8" s="9"/>
      <c r="I8" s="9">
        <v>20</v>
      </c>
      <c r="J8" s="10">
        <f t="shared" si="0"/>
        <v>100</v>
      </c>
      <c r="K8" s="10">
        <f t="shared" si="1"/>
        <v>2000</v>
      </c>
      <c r="L8" s="10"/>
      <c r="M8" s="61">
        <f t="shared" si="2"/>
        <v>20</v>
      </c>
      <c r="N8" s="69">
        <f t="shared" si="3"/>
        <v>5.4009600000000005E-2</v>
      </c>
      <c r="O8" s="6"/>
    </row>
    <row r="9" spans="1:15">
      <c r="A9" s="9">
        <v>7</v>
      </c>
      <c r="B9" s="9" t="s">
        <v>217</v>
      </c>
      <c r="C9" s="9">
        <v>1</v>
      </c>
      <c r="D9" s="9">
        <v>200</v>
      </c>
      <c r="E9" s="9" t="s">
        <v>224</v>
      </c>
      <c r="F9" s="9"/>
      <c r="G9" s="9"/>
      <c r="H9" s="9"/>
      <c r="I9" s="9">
        <v>20</v>
      </c>
      <c r="J9" s="10">
        <f t="shared" si="0"/>
        <v>200</v>
      </c>
      <c r="K9" s="10">
        <f t="shared" si="1"/>
        <v>4000</v>
      </c>
      <c r="L9" s="10"/>
      <c r="M9" s="61">
        <f t="shared" si="2"/>
        <v>20</v>
      </c>
      <c r="N9" s="69">
        <f t="shared" si="3"/>
        <v>5.4009600000000005E-2</v>
      </c>
      <c r="O9" s="6"/>
    </row>
    <row r="10" spans="1:15">
      <c r="A10" s="9">
        <v>8</v>
      </c>
      <c r="B10" s="9" t="s">
        <v>221</v>
      </c>
      <c r="C10" s="9">
        <v>1.5</v>
      </c>
      <c r="D10" s="9">
        <v>200</v>
      </c>
      <c r="E10" s="9" t="s">
        <v>224</v>
      </c>
      <c r="F10" s="9"/>
      <c r="G10" s="9"/>
      <c r="H10" s="9"/>
      <c r="I10" s="9">
        <v>50</v>
      </c>
      <c r="J10" s="10">
        <f t="shared" si="0"/>
        <v>300</v>
      </c>
      <c r="K10" s="10">
        <f t="shared" si="1"/>
        <v>10000</v>
      </c>
      <c r="L10" s="10"/>
      <c r="M10" s="61">
        <f t="shared" si="2"/>
        <v>33.333333333333336</v>
      </c>
      <c r="N10" s="69">
        <f t="shared" si="3"/>
        <v>9.0016000000000013E-2</v>
      </c>
      <c r="O10" s="6"/>
    </row>
    <row r="11" spans="1:15">
      <c r="A11" s="9">
        <v>9</v>
      </c>
      <c r="B11" s="9" t="s">
        <v>221</v>
      </c>
      <c r="C11" s="9">
        <v>1.8</v>
      </c>
      <c r="D11" s="9">
        <v>200</v>
      </c>
      <c r="E11" s="9" t="s">
        <v>224</v>
      </c>
      <c r="F11" s="9"/>
      <c r="G11" s="9"/>
      <c r="H11" s="9"/>
      <c r="I11" s="9">
        <v>40</v>
      </c>
      <c r="J11" s="10">
        <f t="shared" si="0"/>
        <v>360</v>
      </c>
      <c r="K11" s="10">
        <f t="shared" si="1"/>
        <v>8000</v>
      </c>
      <c r="L11" s="10"/>
      <c r="M11" s="61">
        <f t="shared" si="2"/>
        <v>22.222222222222221</v>
      </c>
      <c r="N11" s="69">
        <f t="shared" si="3"/>
        <v>6.001066666666667E-2</v>
      </c>
      <c r="O11" s="6"/>
    </row>
    <row r="12" spans="1:15">
      <c r="A12" s="9">
        <v>10</v>
      </c>
      <c r="B12" s="9" t="s">
        <v>221</v>
      </c>
      <c r="C12" s="9">
        <v>2</v>
      </c>
      <c r="D12" s="9">
        <v>200</v>
      </c>
      <c r="E12" s="9" t="s">
        <v>224</v>
      </c>
      <c r="F12" s="9"/>
      <c r="G12" s="9"/>
      <c r="H12" s="9"/>
      <c r="I12" s="9">
        <v>50</v>
      </c>
      <c r="J12" s="10">
        <f t="shared" si="0"/>
        <v>400</v>
      </c>
      <c r="K12" s="10">
        <f t="shared" si="1"/>
        <v>10000</v>
      </c>
      <c r="L12" s="10"/>
      <c r="M12" s="61">
        <f t="shared" si="2"/>
        <v>25</v>
      </c>
      <c r="N12" s="69">
        <f t="shared" si="3"/>
        <v>6.7512000000000003E-2</v>
      </c>
      <c r="O12" s="6"/>
    </row>
    <row r="13" spans="1:15">
      <c r="A13" s="9">
        <v>11</v>
      </c>
      <c r="B13" s="9" t="s">
        <v>221</v>
      </c>
      <c r="C13" s="9">
        <v>2</v>
      </c>
      <c r="D13" s="9">
        <v>200</v>
      </c>
      <c r="E13" s="9" t="s">
        <v>224</v>
      </c>
      <c r="F13" s="9"/>
      <c r="G13" s="9"/>
      <c r="H13" s="9"/>
      <c r="I13" s="9">
        <v>50</v>
      </c>
      <c r="J13" s="10">
        <f t="shared" si="0"/>
        <v>400</v>
      </c>
      <c r="K13" s="10">
        <f t="shared" si="1"/>
        <v>10000</v>
      </c>
      <c r="L13" s="10"/>
      <c r="M13" s="61">
        <f t="shared" si="2"/>
        <v>25</v>
      </c>
      <c r="N13" s="69">
        <f t="shared" si="3"/>
        <v>6.7512000000000003E-2</v>
      </c>
      <c r="O13" s="6"/>
    </row>
    <row r="14" spans="1:15">
      <c r="A14" s="9">
        <v>12</v>
      </c>
      <c r="B14" s="9" t="s">
        <v>221</v>
      </c>
      <c r="C14" s="9">
        <v>2</v>
      </c>
      <c r="D14" s="9">
        <v>200</v>
      </c>
      <c r="E14" s="9" t="s">
        <v>224</v>
      </c>
      <c r="F14" s="9"/>
      <c r="G14" s="9"/>
      <c r="H14" s="9"/>
      <c r="I14" s="9">
        <v>50</v>
      </c>
      <c r="J14" s="10">
        <f t="shared" si="0"/>
        <v>400</v>
      </c>
      <c r="K14" s="10">
        <f t="shared" si="1"/>
        <v>10000</v>
      </c>
      <c r="L14" s="10"/>
      <c r="M14" s="61">
        <f t="shared" si="2"/>
        <v>25</v>
      </c>
      <c r="N14" s="69">
        <f t="shared" si="3"/>
        <v>6.7512000000000003E-2</v>
      </c>
      <c r="O14" s="6"/>
    </row>
    <row r="15" spans="1:15">
      <c r="A15" s="9">
        <v>13</v>
      </c>
      <c r="B15" s="9" t="s">
        <v>221</v>
      </c>
      <c r="C15" s="9">
        <v>2</v>
      </c>
      <c r="D15" s="9">
        <v>200</v>
      </c>
      <c r="E15" s="9" t="s">
        <v>224</v>
      </c>
      <c r="F15" s="9"/>
      <c r="G15" s="9"/>
      <c r="H15" s="9"/>
      <c r="I15" s="9">
        <v>50</v>
      </c>
      <c r="J15" s="10">
        <f t="shared" si="0"/>
        <v>400</v>
      </c>
      <c r="K15" s="10">
        <f t="shared" si="1"/>
        <v>10000</v>
      </c>
      <c r="L15" s="10"/>
      <c r="M15" s="61">
        <f t="shared" si="2"/>
        <v>25</v>
      </c>
      <c r="N15" s="69">
        <f t="shared" si="3"/>
        <v>6.7512000000000003E-2</v>
      </c>
      <c r="O15" s="6"/>
    </row>
    <row r="16" spans="1:15">
      <c r="A16" s="9">
        <v>14</v>
      </c>
      <c r="B16" s="9" t="s">
        <v>221</v>
      </c>
      <c r="C16" s="9">
        <v>2</v>
      </c>
      <c r="D16" s="9">
        <v>200</v>
      </c>
      <c r="E16" s="9" t="s">
        <v>224</v>
      </c>
      <c r="F16" s="9"/>
      <c r="G16" s="9"/>
      <c r="H16" s="9"/>
      <c r="I16" s="9">
        <v>50</v>
      </c>
      <c r="J16" s="10">
        <f t="shared" si="0"/>
        <v>400</v>
      </c>
      <c r="K16" s="10">
        <f t="shared" si="1"/>
        <v>10000</v>
      </c>
      <c r="L16" s="10"/>
      <c r="M16" s="61">
        <f t="shared" si="2"/>
        <v>25</v>
      </c>
      <c r="N16" s="69">
        <f t="shared" si="3"/>
        <v>6.7512000000000003E-2</v>
      </c>
      <c r="O16" s="6"/>
    </row>
    <row r="17" spans="1:15">
      <c r="A17" s="9">
        <v>15</v>
      </c>
      <c r="B17" s="9" t="s">
        <v>221</v>
      </c>
      <c r="C17" s="9">
        <v>2</v>
      </c>
      <c r="D17" s="9">
        <v>200</v>
      </c>
      <c r="E17" s="9" t="s">
        <v>224</v>
      </c>
      <c r="F17" s="9"/>
      <c r="G17" s="9"/>
      <c r="H17" s="9"/>
      <c r="I17" s="9">
        <v>50</v>
      </c>
      <c r="J17" s="10">
        <f t="shared" si="0"/>
        <v>400</v>
      </c>
      <c r="K17" s="10">
        <f t="shared" si="1"/>
        <v>10000</v>
      </c>
      <c r="L17" s="10"/>
      <c r="M17" s="61">
        <f t="shared" si="2"/>
        <v>25</v>
      </c>
      <c r="N17" s="69">
        <f t="shared" si="3"/>
        <v>6.7512000000000003E-2</v>
      </c>
      <c r="O17" s="6"/>
    </row>
    <row r="18" spans="1:15">
      <c r="A18" s="9">
        <v>16</v>
      </c>
      <c r="B18" s="9" t="s">
        <v>221</v>
      </c>
      <c r="C18" s="9">
        <v>2</v>
      </c>
      <c r="D18" s="9">
        <v>200</v>
      </c>
      <c r="E18" s="9" t="s">
        <v>224</v>
      </c>
      <c r="F18" s="9"/>
      <c r="G18" s="9"/>
      <c r="H18" s="9"/>
      <c r="I18" s="9">
        <v>50</v>
      </c>
      <c r="J18" s="10">
        <f t="shared" si="0"/>
        <v>400</v>
      </c>
      <c r="K18" s="10">
        <f t="shared" si="1"/>
        <v>10000</v>
      </c>
      <c r="L18" s="10"/>
      <c r="M18" s="61">
        <f t="shared" si="2"/>
        <v>25</v>
      </c>
      <c r="N18" s="69">
        <f t="shared" si="3"/>
        <v>6.7512000000000003E-2</v>
      </c>
      <c r="O18" s="6"/>
    </row>
    <row r="19" spans="1:15">
      <c r="A19" s="9">
        <v>17</v>
      </c>
      <c r="B19" s="9" t="s">
        <v>221</v>
      </c>
      <c r="C19" s="9">
        <v>2</v>
      </c>
      <c r="D19" s="9">
        <v>200</v>
      </c>
      <c r="E19" s="9" t="s">
        <v>224</v>
      </c>
      <c r="F19" s="9"/>
      <c r="G19" s="9"/>
      <c r="H19" s="9"/>
      <c r="I19" s="9">
        <v>50</v>
      </c>
      <c r="J19" s="10">
        <f t="shared" si="0"/>
        <v>400</v>
      </c>
      <c r="K19" s="10">
        <f t="shared" si="1"/>
        <v>10000</v>
      </c>
      <c r="L19" s="10"/>
      <c r="M19" s="61">
        <f t="shared" si="2"/>
        <v>25</v>
      </c>
      <c r="N19" s="69">
        <f t="shared" si="3"/>
        <v>6.7512000000000003E-2</v>
      </c>
      <c r="O19" s="6"/>
    </row>
    <row r="20" spans="1:15">
      <c r="A20" s="9">
        <v>18</v>
      </c>
      <c r="B20" s="9" t="s">
        <v>221</v>
      </c>
      <c r="C20" s="9">
        <v>2.5</v>
      </c>
      <c r="D20" s="9">
        <v>200</v>
      </c>
      <c r="E20" s="9" t="s">
        <v>224</v>
      </c>
      <c r="F20" s="9"/>
      <c r="G20" s="9"/>
      <c r="H20" s="9"/>
      <c r="I20" s="9">
        <v>60</v>
      </c>
      <c r="J20" s="10">
        <f t="shared" si="0"/>
        <v>500</v>
      </c>
      <c r="K20" s="10">
        <f t="shared" si="1"/>
        <v>12000</v>
      </c>
      <c r="L20" s="10"/>
      <c r="M20" s="61">
        <f t="shared" si="2"/>
        <v>24</v>
      </c>
      <c r="N20" s="69">
        <f t="shared" si="3"/>
        <v>6.4811519999999997E-2</v>
      </c>
      <c r="O20" s="6"/>
    </row>
    <row r="21" spans="1:15">
      <c r="A21" s="9">
        <v>19</v>
      </c>
      <c r="B21" s="9" t="s">
        <v>221</v>
      </c>
      <c r="C21" s="9">
        <v>3</v>
      </c>
      <c r="D21" s="9">
        <v>200</v>
      </c>
      <c r="E21" s="9" t="s">
        <v>224</v>
      </c>
      <c r="F21" s="9"/>
      <c r="G21" s="9"/>
      <c r="H21" s="9"/>
      <c r="I21" s="9">
        <v>60</v>
      </c>
      <c r="J21" s="10">
        <f t="shared" si="0"/>
        <v>600</v>
      </c>
      <c r="K21" s="10">
        <f t="shared" si="1"/>
        <v>12000</v>
      </c>
      <c r="L21" s="10"/>
      <c r="M21" s="61">
        <f t="shared" si="2"/>
        <v>20</v>
      </c>
      <c r="N21" s="69">
        <f t="shared" si="3"/>
        <v>5.4009599999999998E-2</v>
      </c>
      <c r="O21" s="6"/>
    </row>
    <row r="22" spans="1:15">
      <c r="A22" s="9">
        <v>20</v>
      </c>
      <c r="B22" s="9" t="s">
        <v>221</v>
      </c>
      <c r="C22" s="9">
        <v>3</v>
      </c>
      <c r="D22" s="9">
        <v>200</v>
      </c>
      <c r="E22" s="9" t="s">
        <v>224</v>
      </c>
      <c r="F22" s="9"/>
      <c r="G22" s="9"/>
      <c r="H22" s="9"/>
      <c r="I22" s="9">
        <v>70</v>
      </c>
      <c r="J22" s="10">
        <f t="shared" si="0"/>
        <v>600</v>
      </c>
      <c r="K22" s="10">
        <f t="shared" si="1"/>
        <v>14000</v>
      </c>
      <c r="L22" s="10"/>
      <c r="M22" s="61">
        <f t="shared" si="2"/>
        <v>23.333333333333332</v>
      </c>
      <c r="N22" s="69">
        <f t="shared" si="3"/>
        <v>6.3011200000000003E-2</v>
      </c>
      <c r="O22" s="6"/>
    </row>
    <row r="23" spans="1:15">
      <c r="A23" s="9">
        <v>21</v>
      </c>
      <c r="B23" s="9" t="s">
        <v>221</v>
      </c>
      <c r="C23" s="9">
        <v>3</v>
      </c>
      <c r="D23" s="9">
        <v>200</v>
      </c>
      <c r="E23" s="9" t="s">
        <v>224</v>
      </c>
      <c r="F23" s="9"/>
      <c r="G23" s="9"/>
      <c r="H23" s="9"/>
      <c r="I23" s="9">
        <v>70</v>
      </c>
      <c r="J23" s="10">
        <f t="shared" si="0"/>
        <v>600</v>
      </c>
      <c r="K23" s="10">
        <f t="shared" si="1"/>
        <v>14000</v>
      </c>
      <c r="L23" s="10"/>
      <c r="M23" s="61">
        <f t="shared" si="2"/>
        <v>23.333333333333332</v>
      </c>
      <c r="N23" s="69">
        <f t="shared" si="3"/>
        <v>6.3011200000000003E-2</v>
      </c>
      <c r="O23" s="6"/>
    </row>
    <row r="24" spans="1:15">
      <c r="A24" s="9">
        <v>22</v>
      </c>
      <c r="B24" s="9" t="s">
        <v>222</v>
      </c>
      <c r="C24" s="9">
        <v>2</v>
      </c>
      <c r="D24" s="9">
        <v>240</v>
      </c>
      <c r="E24" s="9" t="s">
        <v>224</v>
      </c>
      <c r="F24" s="9"/>
      <c r="G24" s="9"/>
      <c r="H24" s="9"/>
      <c r="I24" s="9">
        <v>50</v>
      </c>
      <c r="J24" s="10">
        <f t="shared" si="0"/>
        <v>480</v>
      </c>
      <c r="K24" s="10">
        <f t="shared" si="1"/>
        <v>12000</v>
      </c>
      <c r="L24" s="10"/>
      <c r="M24" s="61">
        <f t="shared" si="2"/>
        <v>25</v>
      </c>
      <c r="N24" s="69">
        <f t="shared" si="3"/>
        <v>6.7512000000000003E-2</v>
      </c>
      <c r="O24" s="6"/>
    </row>
    <row r="25" spans="1:15">
      <c r="A25" s="9">
        <v>23</v>
      </c>
      <c r="B25" s="9" t="s">
        <v>222</v>
      </c>
      <c r="C25" s="9">
        <v>7</v>
      </c>
      <c r="D25" s="9">
        <v>210</v>
      </c>
      <c r="E25" s="9" t="s">
        <v>224</v>
      </c>
      <c r="F25" s="9"/>
      <c r="G25" s="9"/>
      <c r="H25" s="9"/>
      <c r="I25" s="9">
        <v>180</v>
      </c>
      <c r="J25" s="10">
        <f t="shared" si="0"/>
        <v>1470</v>
      </c>
      <c r="K25" s="10">
        <f t="shared" si="1"/>
        <v>37800</v>
      </c>
      <c r="L25" s="10"/>
      <c r="M25" s="61">
        <f t="shared" si="2"/>
        <v>25.714285714285715</v>
      </c>
      <c r="N25" s="69">
        <f t="shared" si="3"/>
        <v>6.9440914285714278E-2</v>
      </c>
      <c r="O25" s="6"/>
    </row>
    <row r="26" spans="1:15">
      <c r="A26" s="9">
        <v>24</v>
      </c>
      <c r="B26" s="9" t="s">
        <v>222</v>
      </c>
      <c r="C26" s="9">
        <v>8</v>
      </c>
      <c r="D26" s="9">
        <v>200</v>
      </c>
      <c r="E26" s="9" t="s">
        <v>224</v>
      </c>
      <c r="F26" s="9"/>
      <c r="G26" s="9"/>
      <c r="H26" s="9"/>
      <c r="I26" s="9">
        <v>180</v>
      </c>
      <c r="J26" s="10">
        <f t="shared" si="0"/>
        <v>1600</v>
      </c>
      <c r="K26" s="10">
        <f t="shared" si="1"/>
        <v>36000</v>
      </c>
      <c r="L26" s="10"/>
      <c r="M26" s="61">
        <f t="shared" si="2"/>
        <v>22.5</v>
      </c>
      <c r="N26" s="69">
        <f t="shared" si="3"/>
        <v>6.0760800000000004E-2</v>
      </c>
      <c r="O26" s="6"/>
    </row>
    <row r="27" spans="1:15">
      <c r="A27" s="9">
        <v>25</v>
      </c>
      <c r="B27" s="9" t="s">
        <v>222</v>
      </c>
      <c r="C27" s="9">
        <v>8</v>
      </c>
      <c r="D27" s="9">
        <v>210</v>
      </c>
      <c r="E27" s="9" t="s">
        <v>224</v>
      </c>
      <c r="F27" s="9"/>
      <c r="G27" s="9"/>
      <c r="H27" s="9"/>
      <c r="I27" s="9">
        <v>180</v>
      </c>
      <c r="J27" s="10">
        <f t="shared" si="0"/>
        <v>1680</v>
      </c>
      <c r="K27" s="10">
        <f t="shared" si="1"/>
        <v>37800</v>
      </c>
      <c r="L27" s="10"/>
      <c r="M27" s="61">
        <f t="shared" si="2"/>
        <v>22.5</v>
      </c>
      <c r="N27" s="69">
        <f t="shared" si="3"/>
        <v>6.0760799999999997E-2</v>
      </c>
      <c r="O27" s="6"/>
    </row>
    <row r="28" spans="1:15">
      <c r="A28" s="9">
        <v>26</v>
      </c>
      <c r="B28" s="9" t="s">
        <v>222</v>
      </c>
      <c r="C28" s="9">
        <v>10</v>
      </c>
      <c r="D28" s="9">
        <v>180</v>
      </c>
      <c r="E28" s="9" t="s">
        <v>224</v>
      </c>
      <c r="F28" s="9"/>
      <c r="G28" s="9"/>
      <c r="H28" s="9"/>
      <c r="I28" s="9">
        <v>210</v>
      </c>
      <c r="J28" s="10">
        <f t="shared" si="0"/>
        <v>1800</v>
      </c>
      <c r="K28" s="10">
        <f t="shared" si="1"/>
        <v>37800</v>
      </c>
      <c r="L28" s="10"/>
      <c r="M28" s="61">
        <f t="shared" si="2"/>
        <v>21</v>
      </c>
      <c r="N28" s="69">
        <f t="shared" si="3"/>
        <v>5.6710079999999996E-2</v>
      </c>
      <c r="O28" s="6"/>
    </row>
    <row r="29" spans="1:15">
      <c r="A29" s="9">
        <v>27</v>
      </c>
      <c r="B29" s="9" t="s">
        <v>9</v>
      </c>
      <c r="C29" s="9">
        <v>8</v>
      </c>
      <c r="D29" s="9">
        <v>150</v>
      </c>
      <c r="E29" s="9" t="s">
        <v>224</v>
      </c>
      <c r="F29" s="9"/>
      <c r="G29" s="9"/>
      <c r="H29" s="9"/>
      <c r="I29" s="9">
        <v>200</v>
      </c>
      <c r="J29" s="10">
        <f t="shared" si="0"/>
        <v>1200</v>
      </c>
      <c r="K29" s="10">
        <f t="shared" si="1"/>
        <v>30000</v>
      </c>
      <c r="L29" s="10"/>
      <c r="M29" s="61">
        <f t="shared" si="2"/>
        <v>25</v>
      </c>
      <c r="N29" s="69">
        <f t="shared" si="3"/>
        <v>6.7512000000000003E-2</v>
      </c>
      <c r="O29" s="6"/>
    </row>
    <row r="30" spans="1:15">
      <c r="A30" s="9">
        <v>28</v>
      </c>
      <c r="B30" s="9" t="s">
        <v>9</v>
      </c>
      <c r="C30" s="9">
        <v>8</v>
      </c>
      <c r="D30" s="9">
        <v>100</v>
      </c>
      <c r="E30" s="9" t="s">
        <v>224</v>
      </c>
      <c r="F30" s="9"/>
      <c r="G30" s="9"/>
      <c r="H30" s="9"/>
      <c r="I30" s="9">
        <v>150</v>
      </c>
      <c r="J30" s="10">
        <f t="shared" si="0"/>
        <v>800</v>
      </c>
      <c r="K30" s="10">
        <f t="shared" si="1"/>
        <v>15000</v>
      </c>
      <c r="L30" s="10"/>
      <c r="M30" s="61">
        <f t="shared" si="2"/>
        <v>18.75</v>
      </c>
      <c r="N30" s="69">
        <f t="shared" si="3"/>
        <v>5.0634000000000005E-2</v>
      </c>
      <c r="O30" s="6"/>
    </row>
    <row r="31" spans="1:15">
      <c r="A31" s="9">
        <v>29</v>
      </c>
      <c r="B31" s="9" t="s">
        <v>9</v>
      </c>
      <c r="C31" s="9">
        <v>10</v>
      </c>
      <c r="D31" s="9">
        <v>150</v>
      </c>
      <c r="E31" s="9" t="s">
        <v>224</v>
      </c>
      <c r="F31" s="9"/>
      <c r="G31" s="9"/>
      <c r="H31" s="9"/>
      <c r="I31" s="9">
        <v>180</v>
      </c>
      <c r="J31" s="10">
        <f t="shared" si="0"/>
        <v>1500</v>
      </c>
      <c r="K31" s="10">
        <f t="shared" si="1"/>
        <v>27000</v>
      </c>
      <c r="L31" s="10"/>
      <c r="M31" s="61">
        <f t="shared" si="2"/>
        <v>18</v>
      </c>
      <c r="N31" s="69">
        <f t="shared" si="3"/>
        <v>4.8608640000000009E-2</v>
      </c>
      <c r="O31" s="6"/>
    </row>
    <row r="32" spans="1:15">
      <c r="A32" s="9">
        <v>30</v>
      </c>
      <c r="B32" s="9" t="s">
        <v>9</v>
      </c>
      <c r="C32" s="9">
        <v>10</v>
      </c>
      <c r="D32" s="9">
        <v>180</v>
      </c>
      <c r="E32" s="9" t="s">
        <v>224</v>
      </c>
      <c r="F32" s="9"/>
      <c r="G32" s="9"/>
      <c r="H32" s="9"/>
      <c r="I32" s="9">
        <v>240</v>
      </c>
      <c r="J32" s="10">
        <f t="shared" si="0"/>
        <v>1800</v>
      </c>
      <c r="K32" s="10">
        <f t="shared" si="1"/>
        <v>43200</v>
      </c>
      <c r="L32" s="10"/>
      <c r="M32" s="61">
        <f t="shared" si="2"/>
        <v>24</v>
      </c>
      <c r="N32" s="69">
        <f t="shared" si="3"/>
        <v>6.4811519999999997E-2</v>
      </c>
      <c r="O32" s="6"/>
    </row>
    <row r="33" spans="1:15">
      <c r="A33" s="9">
        <v>31</v>
      </c>
      <c r="B33" s="9" t="s">
        <v>9</v>
      </c>
      <c r="C33" s="9">
        <v>6</v>
      </c>
      <c r="D33" s="9">
        <v>330</v>
      </c>
      <c r="E33" s="9" t="s">
        <v>224</v>
      </c>
      <c r="F33" s="9"/>
      <c r="G33" s="9"/>
      <c r="H33" s="9">
        <v>75</v>
      </c>
      <c r="I33" s="9">
        <v>180</v>
      </c>
      <c r="J33" s="10">
        <f t="shared" si="0"/>
        <v>1980</v>
      </c>
      <c r="K33" s="10">
        <f t="shared" si="1"/>
        <v>59400</v>
      </c>
      <c r="L33" s="10"/>
      <c r="M33" s="61">
        <f t="shared" si="2"/>
        <v>30</v>
      </c>
      <c r="N33" s="69">
        <f t="shared" si="3"/>
        <v>8.10144E-2</v>
      </c>
      <c r="O33" s="6"/>
    </row>
    <row r="34" spans="1:15">
      <c r="A34" s="9">
        <v>32</v>
      </c>
      <c r="B34" s="9" t="s">
        <v>9</v>
      </c>
      <c r="C34" s="9">
        <v>10</v>
      </c>
      <c r="D34" s="9">
        <v>200</v>
      </c>
      <c r="E34" s="9" t="s">
        <v>224</v>
      </c>
      <c r="F34" s="9"/>
      <c r="G34" s="9"/>
      <c r="H34" s="9"/>
      <c r="I34" s="9">
        <v>300</v>
      </c>
      <c r="J34" s="10">
        <f t="shared" si="0"/>
        <v>2000</v>
      </c>
      <c r="K34" s="10">
        <f t="shared" si="1"/>
        <v>60000</v>
      </c>
      <c r="L34" s="10"/>
      <c r="M34" s="61">
        <f t="shared" si="2"/>
        <v>30</v>
      </c>
      <c r="N34" s="69">
        <f t="shared" si="3"/>
        <v>8.1014400000000014E-2</v>
      </c>
      <c r="O34" s="6"/>
    </row>
    <row r="35" spans="1:15">
      <c r="A35" s="9">
        <v>33</v>
      </c>
      <c r="B35" s="9" t="s">
        <v>9</v>
      </c>
      <c r="C35" s="9">
        <v>10</v>
      </c>
      <c r="D35" s="9">
        <v>200</v>
      </c>
      <c r="E35" s="9" t="s">
        <v>224</v>
      </c>
      <c r="F35" s="9"/>
      <c r="G35" s="9"/>
      <c r="H35" s="9"/>
      <c r="I35" s="9">
        <v>240</v>
      </c>
      <c r="J35" s="10">
        <f t="shared" si="0"/>
        <v>2000</v>
      </c>
      <c r="K35" s="10">
        <f t="shared" si="1"/>
        <v>48000</v>
      </c>
      <c r="L35" s="10"/>
      <c r="M35" s="61">
        <f t="shared" si="2"/>
        <v>24</v>
      </c>
      <c r="N35" s="69">
        <f t="shared" si="3"/>
        <v>6.4811519999999997E-2</v>
      </c>
      <c r="O35" s="6"/>
    </row>
    <row r="36" spans="1:15">
      <c r="A36" s="9">
        <v>34</v>
      </c>
      <c r="B36" s="9" t="s">
        <v>9</v>
      </c>
      <c r="C36" s="9">
        <v>10</v>
      </c>
      <c r="D36" s="9">
        <v>200</v>
      </c>
      <c r="E36" s="9" t="s">
        <v>224</v>
      </c>
      <c r="F36" s="9"/>
      <c r="G36" s="9"/>
      <c r="H36" s="9"/>
      <c r="I36" s="9">
        <v>210</v>
      </c>
      <c r="J36" s="10">
        <f t="shared" si="0"/>
        <v>2000</v>
      </c>
      <c r="K36" s="10">
        <f t="shared" si="1"/>
        <v>42000</v>
      </c>
      <c r="L36" s="10"/>
      <c r="M36" s="61">
        <f t="shared" si="2"/>
        <v>21</v>
      </c>
      <c r="N36" s="69">
        <f t="shared" si="3"/>
        <v>5.671008000000001E-2</v>
      </c>
      <c r="O36" s="6"/>
    </row>
    <row r="37" spans="1:15">
      <c r="A37" s="9">
        <v>35</v>
      </c>
      <c r="B37" s="9" t="s">
        <v>9</v>
      </c>
      <c r="C37" s="9">
        <v>12</v>
      </c>
      <c r="D37" s="9">
        <v>180</v>
      </c>
      <c r="E37" s="9" t="s">
        <v>224</v>
      </c>
      <c r="F37" s="9"/>
      <c r="G37" s="9"/>
      <c r="H37" s="9"/>
      <c r="I37" s="9">
        <v>240</v>
      </c>
      <c r="J37" s="10">
        <f t="shared" si="0"/>
        <v>2160</v>
      </c>
      <c r="K37" s="10">
        <f t="shared" si="1"/>
        <v>43200</v>
      </c>
      <c r="L37" s="10"/>
      <c r="M37" s="61">
        <f t="shared" si="2"/>
        <v>20</v>
      </c>
      <c r="N37" s="69">
        <f t="shared" si="3"/>
        <v>5.4009599999999991E-2</v>
      </c>
      <c r="O37" s="6"/>
    </row>
    <row r="38" spans="1:15">
      <c r="A38" s="9">
        <v>36</v>
      </c>
      <c r="B38" s="9" t="s">
        <v>9</v>
      </c>
      <c r="C38" s="9">
        <v>13</v>
      </c>
      <c r="D38" s="9">
        <v>210</v>
      </c>
      <c r="E38" s="9" t="s">
        <v>224</v>
      </c>
      <c r="F38" s="9"/>
      <c r="G38" s="9">
        <v>30</v>
      </c>
      <c r="H38" s="9">
        <v>30</v>
      </c>
      <c r="I38" s="9">
        <v>210</v>
      </c>
      <c r="J38" s="10">
        <f t="shared" si="0"/>
        <v>2730</v>
      </c>
      <c r="K38" s="10">
        <f t="shared" si="1"/>
        <v>44100</v>
      </c>
      <c r="L38" s="10"/>
      <c r="M38" s="61">
        <f t="shared" si="2"/>
        <v>16.153846153846153</v>
      </c>
      <c r="N38" s="69">
        <f t="shared" si="3"/>
        <v>4.3623138461538466E-2</v>
      </c>
      <c r="O38" s="6"/>
    </row>
    <row r="39" spans="1:15">
      <c r="A39" s="9">
        <v>37</v>
      </c>
      <c r="B39" s="9" t="s">
        <v>9</v>
      </c>
      <c r="C39" s="9">
        <v>15</v>
      </c>
      <c r="D39" s="9">
        <v>240</v>
      </c>
      <c r="E39" s="9" t="s">
        <v>224</v>
      </c>
      <c r="F39" s="9"/>
      <c r="G39" s="9"/>
      <c r="H39" s="9"/>
      <c r="I39" s="9">
        <v>270</v>
      </c>
      <c r="J39" s="10">
        <f t="shared" si="0"/>
        <v>3600</v>
      </c>
      <c r="K39" s="10">
        <f t="shared" si="1"/>
        <v>64800</v>
      </c>
      <c r="L39" s="10"/>
      <c r="M39" s="61">
        <f t="shared" si="2"/>
        <v>18</v>
      </c>
      <c r="N39" s="69">
        <f t="shared" si="3"/>
        <v>4.8608640000000002E-2</v>
      </c>
      <c r="O39" s="6"/>
    </row>
    <row r="40" spans="1:15">
      <c r="A40" s="9">
        <v>38</v>
      </c>
      <c r="B40" s="9" t="s">
        <v>9</v>
      </c>
      <c r="C40" s="9">
        <v>18</v>
      </c>
      <c r="D40" s="9">
        <v>200</v>
      </c>
      <c r="E40" s="9" t="s">
        <v>224</v>
      </c>
      <c r="F40" s="9">
        <v>900</v>
      </c>
      <c r="G40" s="9">
        <v>250</v>
      </c>
      <c r="H40" s="9"/>
      <c r="I40" s="9">
        <v>270</v>
      </c>
      <c r="J40" s="10">
        <f t="shared" si="0"/>
        <v>3600</v>
      </c>
      <c r="K40" s="10">
        <f t="shared" si="1"/>
        <v>54000</v>
      </c>
      <c r="L40" s="10">
        <f t="shared" si="4"/>
        <v>180</v>
      </c>
      <c r="M40" s="61">
        <f t="shared" si="2"/>
        <v>15</v>
      </c>
      <c r="N40" s="69">
        <f t="shared" si="3"/>
        <v>4.0507200000000007E-2</v>
      </c>
      <c r="O40" s="6"/>
    </row>
    <row r="41" spans="1:15">
      <c r="A41" s="9">
        <v>39</v>
      </c>
      <c r="B41" s="9" t="s">
        <v>215</v>
      </c>
      <c r="C41" s="9">
        <v>1</v>
      </c>
      <c r="D41" s="9">
        <v>90</v>
      </c>
      <c r="E41" s="9" t="s">
        <v>224</v>
      </c>
      <c r="F41" s="9"/>
      <c r="G41" s="9"/>
      <c r="H41" s="9"/>
      <c r="I41" s="9">
        <v>20</v>
      </c>
      <c r="J41" s="10">
        <f t="shared" si="0"/>
        <v>90</v>
      </c>
      <c r="K41" s="10">
        <f t="shared" si="1"/>
        <v>1800</v>
      </c>
      <c r="L41" s="10"/>
      <c r="M41" s="61">
        <f t="shared" si="2"/>
        <v>20</v>
      </c>
      <c r="N41" s="69">
        <f t="shared" si="3"/>
        <v>5.4009600000000005E-2</v>
      </c>
      <c r="O41" s="6"/>
    </row>
    <row r="42" spans="1:15">
      <c r="A42" s="9">
        <v>40</v>
      </c>
      <c r="B42" s="9" t="s">
        <v>215</v>
      </c>
      <c r="C42" s="9">
        <v>2</v>
      </c>
      <c r="D42" s="9">
        <v>200</v>
      </c>
      <c r="E42" s="9" t="s">
        <v>224</v>
      </c>
      <c r="F42" s="9"/>
      <c r="G42" s="9"/>
      <c r="H42" s="9"/>
      <c r="I42" s="9">
        <v>50</v>
      </c>
      <c r="J42" s="10">
        <f t="shared" si="0"/>
        <v>400</v>
      </c>
      <c r="K42" s="10">
        <f t="shared" si="1"/>
        <v>10000</v>
      </c>
      <c r="L42" s="10"/>
      <c r="M42" s="61">
        <f t="shared" si="2"/>
        <v>25</v>
      </c>
      <c r="N42" s="69">
        <f t="shared" si="3"/>
        <v>6.7512000000000003E-2</v>
      </c>
      <c r="O42" s="6"/>
    </row>
    <row r="43" spans="1:15">
      <c r="A43" s="9">
        <v>41</v>
      </c>
      <c r="B43" s="9" t="s">
        <v>215</v>
      </c>
      <c r="C43" s="9">
        <v>16</v>
      </c>
      <c r="D43" s="9">
        <v>320</v>
      </c>
      <c r="E43" s="9" t="s">
        <v>224</v>
      </c>
      <c r="F43" s="9"/>
      <c r="G43" s="9"/>
      <c r="H43" s="9"/>
      <c r="I43" s="9">
        <v>350</v>
      </c>
      <c r="J43" s="10">
        <f t="shared" si="0"/>
        <v>5120</v>
      </c>
      <c r="K43" s="10">
        <f t="shared" si="1"/>
        <v>112000</v>
      </c>
      <c r="L43" s="10"/>
      <c r="M43" s="61">
        <f t="shared" si="2"/>
        <v>21.875</v>
      </c>
      <c r="N43" s="69">
        <f t="shared" si="3"/>
        <v>5.9073000000000001E-2</v>
      </c>
      <c r="O43" s="6"/>
    </row>
    <row r="44" spans="1:15">
      <c r="A44" s="9">
        <v>42</v>
      </c>
      <c r="B44" s="9" t="s">
        <v>216</v>
      </c>
      <c r="C44" s="9">
        <v>1</v>
      </c>
      <c r="D44" s="9">
        <v>100</v>
      </c>
      <c r="E44" s="9" t="s">
        <v>224</v>
      </c>
      <c r="F44" s="9"/>
      <c r="G44" s="9"/>
      <c r="H44" s="9"/>
      <c r="I44" s="9">
        <v>20</v>
      </c>
      <c r="J44" s="10">
        <f t="shared" si="0"/>
        <v>100</v>
      </c>
      <c r="K44" s="10">
        <f t="shared" si="1"/>
        <v>2000</v>
      </c>
      <c r="L44" s="10"/>
      <c r="M44" s="61">
        <f t="shared" si="2"/>
        <v>20</v>
      </c>
      <c r="N44" s="69">
        <f t="shared" si="3"/>
        <v>5.4009600000000005E-2</v>
      </c>
      <c r="O44" s="6"/>
    </row>
    <row r="45" spans="1:15">
      <c r="A45" s="9">
        <v>43</v>
      </c>
      <c r="B45" s="9" t="s">
        <v>220</v>
      </c>
      <c r="C45" s="9">
        <v>1</v>
      </c>
      <c r="D45" s="9">
        <v>100</v>
      </c>
      <c r="E45" s="9" t="s">
        <v>224</v>
      </c>
      <c r="F45" s="9"/>
      <c r="G45" s="9"/>
      <c r="H45" s="9"/>
      <c r="I45" s="9">
        <v>20</v>
      </c>
      <c r="J45" s="10">
        <f t="shared" si="0"/>
        <v>100</v>
      </c>
      <c r="K45" s="10">
        <f t="shared" si="1"/>
        <v>2000</v>
      </c>
      <c r="L45" s="10"/>
      <c r="M45" s="61">
        <f t="shared" si="2"/>
        <v>20</v>
      </c>
      <c r="N45" s="69">
        <f t="shared" si="3"/>
        <v>5.4009600000000005E-2</v>
      </c>
      <c r="O45" s="6"/>
    </row>
    <row r="46" spans="1:15">
      <c r="A46" s="9">
        <v>44</v>
      </c>
      <c r="B46" s="9" t="s">
        <v>220</v>
      </c>
      <c r="C46" s="9">
        <v>15</v>
      </c>
      <c r="D46" s="9">
        <v>210</v>
      </c>
      <c r="E46" s="9" t="s">
        <v>224</v>
      </c>
      <c r="F46" s="9"/>
      <c r="G46" s="9"/>
      <c r="H46" s="9"/>
      <c r="I46" s="9">
        <v>180</v>
      </c>
      <c r="J46" s="10">
        <f t="shared" si="0"/>
        <v>3150</v>
      </c>
      <c r="K46" s="10">
        <f t="shared" si="1"/>
        <v>37800</v>
      </c>
      <c r="L46" s="10"/>
      <c r="M46" s="61">
        <f t="shared" si="2"/>
        <v>12</v>
      </c>
      <c r="N46" s="69">
        <f t="shared" si="3"/>
        <v>3.2405759999999999E-2</v>
      </c>
      <c r="O46" s="6"/>
    </row>
    <row r="47" spans="1:15">
      <c r="A47" s="9">
        <v>45</v>
      </c>
      <c r="B47" s="9" t="s">
        <v>220</v>
      </c>
      <c r="C47" s="9">
        <v>20</v>
      </c>
      <c r="D47" s="9">
        <v>240</v>
      </c>
      <c r="E47" s="9" t="s">
        <v>58</v>
      </c>
      <c r="F47" s="9">
        <v>900</v>
      </c>
      <c r="G47" s="9"/>
      <c r="H47" s="9"/>
      <c r="I47" s="9">
        <v>0</v>
      </c>
      <c r="J47" s="10">
        <f t="shared" si="0"/>
        <v>4800</v>
      </c>
      <c r="K47" s="10">
        <f t="shared" si="1"/>
        <v>0</v>
      </c>
      <c r="L47" s="10">
        <f t="shared" si="4"/>
        <v>216</v>
      </c>
      <c r="M47" s="61"/>
      <c r="N47" s="70">
        <f>L47*C69/J47</f>
        <v>3.6000000000000004E-2</v>
      </c>
      <c r="O47" s="6"/>
    </row>
    <row r="48" spans="1:15">
      <c r="A48" s="9">
        <v>46</v>
      </c>
      <c r="B48" s="9" t="s">
        <v>220</v>
      </c>
      <c r="C48" s="9">
        <v>20</v>
      </c>
      <c r="D48" s="9">
        <v>240</v>
      </c>
      <c r="E48" s="9" t="s">
        <v>224</v>
      </c>
      <c r="F48" s="9"/>
      <c r="G48" s="9"/>
      <c r="H48" s="9"/>
      <c r="I48" s="9">
        <v>210</v>
      </c>
      <c r="J48" s="10">
        <f t="shared" si="0"/>
        <v>4800</v>
      </c>
      <c r="K48" s="10">
        <f t="shared" si="1"/>
        <v>50400</v>
      </c>
      <c r="L48" s="10"/>
      <c r="M48" s="61">
        <f t="shared" si="2"/>
        <v>10.5</v>
      </c>
      <c r="N48" s="69">
        <f t="shared" ref="N48:N65" si="5">K48*$C$67*$C$68/1000/J48</f>
        <v>2.8355040000000001E-2</v>
      </c>
      <c r="O48" s="6"/>
    </row>
    <row r="49" spans="1:15">
      <c r="A49" s="9">
        <v>47</v>
      </c>
      <c r="B49" s="9" t="s">
        <v>220</v>
      </c>
      <c r="C49" s="9">
        <v>25</v>
      </c>
      <c r="D49" s="9">
        <v>210</v>
      </c>
      <c r="E49" s="9" t="s">
        <v>224</v>
      </c>
      <c r="F49" s="9"/>
      <c r="G49" s="9"/>
      <c r="H49" s="9"/>
      <c r="I49" s="9">
        <v>250</v>
      </c>
      <c r="J49" s="10">
        <f t="shared" si="0"/>
        <v>5250</v>
      </c>
      <c r="K49" s="10">
        <f t="shared" si="1"/>
        <v>52500</v>
      </c>
      <c r="L49" s="10"/>
      <c r="M49" s="61">
        <f t="shared" si="2"/>
        <v>10</v>
      </c>
      <c r="N49" s="69">
        <f t="shared" si="5"/>
        <v>2.7004800000000002E-2</v>
      </c>
      <c r="O49" s="6"/>
    </row>
    <row r="50" spans="1:15">
      <c r="A50" s="9">
        <v>48</v>
      </c>
      <c r="B50" s="9" t="s">
        <v>220</v>
      </c>
      <c r="C50" s="9">
        <v>27</v>
      </c>
      <c r="D50" s="9">
        <v>198</v>
      </c>
      <c r="E50" s="9" t="s">
        <v>224</v>
      </c>
      <c r="F50" s="9"/>
      <c r="G50" s="9"/>
      <c r="H50" s="9"/>
      <c r="I50" s="9">
        <v>550</v>
      </c>
      <c r="J50" s="10">
        <f t="shared" si="0"/>
        <v>5346</v>
      </c>
      <c r="K50" s="10">
        <f t="shared" si="1"/>
        <v>108900</v>
      </c>
      <c r="L50" s="10"/>
      <c r="M50" s="61">
        <f t="shared" si="2"/>
        <v>20.37037037037037</v>
      </c>
      <c r="N50" s="69">
        <f t="shared" si="5"/>
        <v>5.5009777777777775E-2</v>
      </c>
      <c r="O50" s="6"/>
    </row>
    <row r="51" spans="1:15">
      <c r="A51" s="9">
        <v>49</v>
      </c>
      <c r="B51" s="9" t="s">
        <v>7</v>
      </c>
      <c r="C51" s="9">
        <v>3.6</v>
      </c>
      <c r="D51" s="9">
        <v>100</v>
      </c>
      <c r="E51" s="9" t="s">
        <v>224</v>
      </c>
      <c r="F51" s="9"/>
      <c r="G51" s="9">
        <v>90</v>
      </c>
      <c r="H51" s="9"/>
      <c r="I51" s="9">
        <v>120</v>
      </c>
      <c r="J51" s="10">
        <f t="shared" si="0"/>
        <v>360</v>
      </c>
      <c r="K51" s="10">
        <f t="shared" si="1"/>
        <v>12000</v>
      </c>
      <c r="L51" s="10"/>
      <c r="M51" s="61">
        <f t="shared" si="2"/>
        <v>33.333333333333336</v>
      </c>
      <c r="N51" s="69">
        <f t="shared" si="5"/>
        <v>9.0015999999999999E-2</v>
      </c>
      <c r="O51" s="6"/>
    </row>
    <row r="52" spans="1:15">
      <c r="A52" s="9">
        <v>50</v>
      </c>
      <c r="B52" s="9" t="s">
        <v>7</v>
      </c>
      <c r="C52" s="9">
        <v>3.6</v>
      </c>
      <c r="D52" s="9">
        <v>150</v>
      </c>
      <c r="E52" s="9" t="s">
        <v>224</v>
      </c>
      <c r="F52" s="9"/>
      <c r="G52" s="9"/>
      <c r="H52" s="9">
        <v>37</v>
      </c>
      <c r="I52" s="9">
        <v>45</v>
      </c>
      <c r="J52" s="10">
        <f t="shared" si="0"/>
        <v>540</v>
      </c>
      <c r="K52" s="10">
        <f t="shared" si="1"/>
        <v>6750</v>
      </c>
      <c r="L52" s="10"/>
      <c r="M52" s="61">
        <f t="shared" si="2"/>
        <v>12.5</v>
      </c>
      <c r="N52" s="69">
        <f t="shared" si="5"/>
        <v>3.3756000000000008E-2</v>
      </c>
      <c r="O52" s="6"/>
    </row>
    <row r="53" spans="1:15">
      <c r="A53" s="9">
        <v>51</v>
      </c>
      <c r="B53" s="9" t="s">
        <v>7</v>
      </c>
      <c r="C53" s="9">
        <v>6.4</v>
      </c>
      <c r="D53" s="9">
        <v>150</v>
      </c>
      <c r="E53" s="9" t="s">
        <v>224</v>
      </c>
      <c r="F53" s="9"/>
      <c r="G53" s="9"/>
      <c r="H53" s="9">
        <v>37</v>
      </c>
      <c r="I53" s="9">
        <v>80</v>
      </c>
      <c r="J53" s="10">
        <f t="shared" si="0"/>
        <v>960</v>
      </c>
      <c r="K53" s="10">
        <f t="shared" si="1"/>
        <v>12000</v>
      </c>
      <c r="L53" s="10"/>
      <c r="M53" s="61">
        <f t="shared" si="2"/>
        <v>12.5</v>
      </c>
      <c r="N53" s="69">
        <f t="shared" si="5"/>
        <v>3.3756000000000001E-2</v>
      </c>
      <c r="O53" s="6"/>
    </row>
    <row r="54" spans="1:15">
      <c r="A54" s="9">
        <v>52</v>
      </c>
      <c r="B54" s="9" t="s">
        <v>7</v>
      </c>
      <c r="C54" s="9">
        <v>7.2</v>
      </c>
      <c r="D54" s="9">
        <v>150</v>
      </c>
      <c r="E54" s="9" t="s">
        <v>224</v>
      </c>
      <c r="F54" s="9"/>
      <c r="G54" s="9">
        <v>265</v>
      </c>
      <c r="H54" s="9"/>
      <c r="I54" s="9">
        <v>90</v>
      </c>
      <c r="J54" s="10">
        <f t="shared" si="0"/>
        <v>1080</v>
      </c>
      <c r="K54" s="10">
        <f t="shared" si="1"/>
        <v>13500</v>
      </c>
      <c r="L54" s="10"/>
      <c r="M54" s="61">
        <f t="shared" si="2"/>
        <v>12.5</v>
      </c>
      <c r="N54" s="69">
        <f t="shared" si="5"/>
        <v>3.3756000000000008E-2</v>
      </c>
      <c r="O54" s="6"/>
    </row>
    <row r="55" spans="1:15">
      <c r="A55" s="9">
        <v>53</v>
      </c>
      <c r="B55" s="9" t="s">
        <v>7</v>
      </c>
      <c r="C55" s="9">
        <v>5.4</v>
      </c>
      <c r="D55" s="9">
        <v>200</v>
      </c>
      <c r="E55" s="9" t="s">
        <v>224</v>
      </c>
      <c r="F55" s="9"/>
      <c r="G55" s="9">
        <v>150</v>
      </c>
      <c r="H55" s="9"/>
      <c r="I55" s="9">
        <v>60</v>
      </c>
      <c r="J55" s="10">
        <f t="shared" si="0"/>
        <v>1080</v>
      </c>
      <c r="K55" s="10">
        <f t="shared" si="1"/>
        <v>12000</v>
      </c>
      <c r="L55" s="10"/>
      <c r="M55" s="61">
        <f t="shared" si="2"/>
        <v>11.111111111111111</v>
      </c>
      <c r="N55" s="69">
        <f t="shared" si="5"/>
        <v>3.0005333333333335E-2</v>
      </c>
      <c r="O55" s="6"/>
    </row>
    <row r="56" spans="1:15">
      <c r="A56" s="9">
        <v>54</v>
      </c>
      <c r="B56" s="9" t="s">
        <v>7</v>
      </c>
      <c r="C56" s="9">
        <v>6.4</v>
      </c>
      <c r="D56" s="9">
        <v>200</v>
      </c>
      <c r="E56" s="9" t="s">
        <v>224</v>
      </c>
      <c r="F56" s="9"/>
      <c r="G56" s="9">
        <v>225</v>
      </c>
      <c r="H56" s="9"/>
      <c r="I56" s="9">
        <v>70</v>
      </c>
      <c r="J56" s="10">
        <f t="shared" si="0"/>
        <v>1280</v>
      </c>
      <c r="K56" s="10">
        <f t="shared" si="1"/>
        <v>14000</v>
      </c>
      <c r="L56" s="10"/>
      <c r="M56" s="61">
        <f t="shared" si="2"/>
        <v>10.9375</v>
      </c>
      <c r="N56" s="69">
        <f t="shared" si="5"/>
        <v>2.95365E-2</v>
      </c>
      <c r="O56" s="6"/>
    </row>
    <row r="57" spans="1:15">
      <c r="A57" s="9">
        <v>55</v>
      </c>
      <c r="B57" s="9" t="s">
        <v>7</v>
      </c>
      <c r="C57" s="9">
        <v>18</v>
      </c>
      <c r="D57" s="9">
        <v>75</v>
      </c>
      <c r="E57" s="9" t="s">
        <v>224</v>
      </c>
      <c r="F57" s="9">
        <v>50</v>
      </c>
      <c r="G57" s="9">
        <v>300</v>
      </c>
      <c r="H57" s="9">
        <v>50</v>
      </c>
      <c r="I57" s="9">
        <v>220</v>
      </c>
      <c r="J57" s="10">
        <f t="shared" si="0"/>
        <v>1350</v>
      </c>
      <c r="K57" s="10">
        <f t="shared" si="1"/>
        <v>16500</v>
      </c>
      <c r="L57" s="10">
        <f t="shared" si="4"/>
        <v>3.75</v>
      </c>
      <c r="M57" s="61">
        <f t="shared" si="2"/>
        <v>12.222222222222221</v>
      </c>
      <c r="N57" s="69">
        <f t="shared" si="5"/>
        <v>3.3005866666666668E-2</v>
      </c>
      <c r="O57" s="6"/>
    </row>
    <row r="58" spans="1:15">
      <c r="A58" s="9">
        <v>56</v>
      </c>
      <c r="B58" s="9" t="s">
        <v>7</v>
      </c>
      <c r="C58" s="9">
        <v>8</v>
      </c>
      <c r="D58" s="9">
        <v>200</v>
      </c>
      <c r="E58" s="9" t="s">
        <v>224</v>
      </c>
      <c r="F58" s="9"/>
      <c r="G58" s="63">
        <v>90.72</v>
      </c>
      <c r="H58" s="9"/>
      <c r="I58" s="9">
        <v>90</v>
      </c>
      <c r="J58" s="10">
        <f t="shared" si="0"/>
        <v>1600</v>
      </c>
      <c r="K58" s="10">
        <f t="shared" si="1"/>
        <v>18000</v>
      </c>
      <c r="L58" s="10"/>
      <c r="M58" s="61">
        <f t="shared" si="2"/>
        <v>11.25</v>
      </c>
      <c r="N58" s="69">
        <f t="shared" si="5"/>
        <v>3.0380400000000002E-2</v>
      </c>
      <c r="O58" s="6"/>
    </row>
    <row r="59" spans="1:15">
      <c r="A59" s="9">
        <v>57</v>
      </c>
      <c r="B59" s="9" t="s">
        <v>7</v>
      </c>
      <c r="C59" s="9">
        <v>9.6</v>
      </c>
      <c r="D59" s="9">
        <v>200</v>
      </c>
      <c r="E59" s="9" t="s">
        <v>224</v>
      </c>
      <c r="F59" s="9"/>
      <c r="G59" s="9">
        <v>225</v>
      </c>
      <c r="H59" s="9"/>
      <c r="I59" s="9">
        <v>200</v>
      </c>
      <c r="J59" s="10">
        <f t="shared" si="0"/>
        <v>1920</v>
      </c>
      <c r="K59" s="10">
        <f t="shared" si="1"/>
        <v>40000</v>
      </c>
      <c r="L59" s="10"/>
      <c r="M59" s="61">
        <f t="shared" si="2"/>
        <v>20.833333333333332</v>
      </c>
      <c r="N59" s="69">
        <f t="shared" si="5"/>
        <v>5.6260000000000004E-2</v>
      </c>
      <c r="O59" s="6"/>
    </row>
    <row r="60" spans="1:15">
      <c r="A60" s="9">
        <v>58</v>
      </c>
      <c r="B60" s="9" t="s">
        <v>7</v>
      </c>
      <c r="C60" s="9">
        <v>10</v>
      </c>
      <c r="D60" s="9">
        <v>200</v>
      </c>
      <c r="E60" s="9" t="s">
        <v>224</v>
      </c>
      <c r="F60" s="9"/>
      <c r="G60" s="64">
        <v>264.60000000000002</v>
      </c>
      <c r="H60" s="9"/>
      <c r="I60" s="9">
        <v>120</v>
      </c>
      <c r="J60" s="10">
        <f t="shared" si="0"/>
        <v>2000</v>
      </c>
      <c r="K60" s="10">
        <f t="shared" si="1"/>
        <v>24000</v>
      </c>
      <c r="L60" s="10"/>
      <c r="M60" s="61">
        <f t="shared" si="2"/>
        <v>12</v>
      </c>
      <c r="N60" s="69">
        <f t="shared" si="5"/>
        <v>3.2405759999999999E-2</v>
      </c>
      <c r="O60" s="6"/>
    </row>
    <row r="61" spans="1:15">
      <c r="A61" s="9">
        <v>59</v>
      </c>
      <c r="B61" s="9" t="s">
        <v>7</v>
      </c>
      <c r="C61" s="9">
        <v>10</v>
      </c>
      <c r="D61" s="9">
        <v>200</v>
      </c>
      <c r="E61" s="9" t="s">
        <v>224</v>
      </c>
      <c r="F61" s="9"/>
      <c r="G61" s="9">
        <v>265</v>
      </c>
      <c r="H61" s="9"/>
      <c r="I61" s="9">
        <v>130</v>
      </c>
      <c r="J61" s="10">
        <f t="shared" si="0"/>
        <v>2000</v>
      </c>
      <c r="K61" s="10">
        <f t="shared" si="1"/>
        <v>26000</v>
      </c>
      <c r="L61" s="10"/>
      <c r="M61" s="61">
        <f t="shared" si="2"/>
        <v>13</v>
      </c>
      <c r="N61" s="69">
        <f t="shared" si="5"/>
        <v>3.5106239999999997E-2</v>
      </c>
      <c r="O61" s="6"/>
    </row>
    <row r="62" spans="1:15">
      <c r="A62" s="9">
        <v>60</v>
      </c>
      <c r="B62" s="9" t="s">
        <v>219</v>
      </c>
      <c r="C62" s="9">
        <v>1</v>
      </c>
      <c r="D62" s="9">
        <v>100</v>
      </c>
      <c r="E62" s="9" t="s">
        <v>224</v>
      </c>
      <c r="F62" s="9"/>
      <c r="G62" s="9"/>
      <c r="H62" s="9"/>
      <c r="I62" s="9">
        <v>20</v>
      </c>
      <c r="J62" s="10">
        <f t="shared" si="0"/>
        <v>100</v>
      </c>
      <c r="K62" s="10">
        <f t="shared" si="1"/>
        <v>2000</v>
      </c>
      <c r="L62" s="10"/>
      <c r="M62" s="61">
        <f t="shared" si="2"/>
        <v>20</v>
      </c>
      <c r="N62" s="69">
        <f t="shared" si="5"/>
        <v>5.4009600000000005E-2</v>
      </c>
      <c r="O62" s="6"/>
    </row>
    <row r="63" spans="1:15">
      <c r="A63" s="9">
        <v>61</v>
      </c>
      <c r="B63" s="9" t="s">
        <v>219</v>
      </c>
      <c r="C63" s="9">
        <v>1</v>
      </c>
      <c r="D63" s="9">
        <v>100</v>
      </c>
      <c r="E63" s="9" t="s">
        <v>224</v>
      </c>
      <c r="F63" s="9"/>
      <c r="G63" s="9"/>
      <c r="H63" s="9"/>
      <c r="I63" s="9">
        <v>20</v>
      </c>
      <c r="J63" s="10">
        <f t="shared" si="0"/>
        <v>100</v>
      </c>
      <c r="K63" s="10">
        <f t="shared" si="1"/>
        <v>2000</v>
      </c>
      <c r="L63" s="10"/>
      <c r="M63" s="61">
        <f t="shared" si="2"/>
        <v>20</v>
      </c>
      <c r="N63" s="69">
        <f t="shared" si="5"/>
        <v>5.4009600000000005E-2</v>
      </c>
      <c r="O63" s="6"/>
    </row>
    <row r="64" spans="1:15">
      <c r="A64" s="9">
        <v>62</v>
      </c>
      <c r="B64" s="9" t="s">
        <v>219</v>
      </c>
      <c r="C64" s="9">
        <v>1</v>
      </c>
      <c r="D64" s="9">
        <v>100</v>
      </c>
      <c r="E64" s="9" t="s">
        <v>224</v>
      </c>
      <c r="F64" s="9"/>
      <c r="G64" s="9"/>
      <c r="H64" s="9"/>
      <c r="I64" s="9">
        <v>20</v>
      </c>
      <c r="J64" s="10">
        <f t="shared" si="0"/>
        <v>100</v>
      </c>
      <c r="K64" s="10">
        <f t="shared" si="1"/>
        <v>2000</v>
      </c>
      <c r="L64" s="10"/>
      <c r="M64" s="61">
        <f t="shared" si="2"/>
        <v>20</v>
      </c>
      <c r="N64" s="69">
        <f t="shared" si="5"/>
        <v>5.4009600000000005E-2</v>
      </c>
      <c r="O64" s="6"/>
    </row>
    <row r="65" spans="1:15">
      <c r="A65" s="9">
        <v>63</v>
      </c>
      <c r="B65" s="9" t="s">
        <v>218</v>
      </c>
      <c r="C65" s="9">
        <v>1</v>
      </c>
      <c r="D65" s="9">
        <v>100</v>
      </c>
      <c r="E65" s="9" t="s">
        <v>224</v>
      </c>
      <c r="F65" s="9"/>
      <c r="G65" s="9"/>
      <c r="H65" s="9"/>
      <c r="I65" s="9">
        <v>20</v>
      </c>
      <c r="J65" s="10">
        <f t="shared" si="0"/>
        <v>100</v>
      </c>
      <c r="K65" s="10">
        <f t="shared" si="1"/>
        <v>2000</v>
      </c>
      <c r="L65" s="10"/>
      <c r="M65" s="61">
        <f t="shared" si="2"/>
        <v>20</v>
      </c>
      <c r="N65" s="69">
        <f t="shared" si="5"/>
        <v>5.4009600000000005E-2</v>
      </c>
      <c r="O65" s="6"/>
    </row>
    <row r="67" spans="1:15">
      <c r="A67" s="17" t="s">
        <v>229</v>
      </c>
      <c r="C67">
        <v>0.84389999999999998</v>
      </c>
      <c r="D67" s="32" t="s">
        <v>230</v>
      </c>
    </row>
    <row r="68" spans="1:15" ht="18.75">
      <c r="A68" s="72" t="s">
        <v>237</v>
      </c>
      <c r="C68">
        <v>3.2</v>
      </c>
      <c r="D68" s="32" t="s">
        <v>231</v>
      </c>
    </row>
    <row r="69" spans="1:15">
      <c r="A69" s="17" t="s">
        <v>236</v>
      </c>
      <c r="C69">
        <v>0.8</v>
      </c>
      <c r="D69" s="32" t="s">
        <v>232</v>
      </c>
    </row>
    <row r="70" spans="1:15">
      <c r="A70" s="98"/>
      <c r="B70" s="14"/>
      <c r="C70" s="14"/>
      <c r="D70" s="14"/>
      <c r="E70" s="14"/>
    </row>
    <row r="71" spans="1:15">
      <c r="A71" s="95"/>
      <c r="B71" s="14"/>
      <c r="C71" s="96"/>
      <c r="D71" s="97"/>
      <c r="E71" s="14"/>
    </row>
    <row r="72" spans="1:15" ht="15">
      <c r="A72" s="101" t="s">
        <v>321</v>
      </c>
      <c r="B72" s="73"/>
      <c r="C72" s="74"/>
      <c r="D72" s="31"/>
      <c r="E72" s="31"/>
      <c r="I72" s="94"/>
    </row>
    <row r="73" spans="1:15" ht="99.75">
      <c r="A73" s="30"/>
      <c r="B73" s="30" t="s">
        <v>317</v>
      </c>
      <c r="C73" s="30" t="s">
        <v>315</v>
      </c>
      <c r="D73" s="30" t="s">
        <v>316</v>
      </c>
      <c r="E73" s="30" t="s">
        <v>251</v>
      </c>
      <c r="F73" s="15" t="s">
        <v>234</v>
      </c>
      <c r="J73" s="21"/>
      <c r="K73" s="57"/>
      <c r="M73" s="6"/>
      <c r="N73" s="60"/>
      <c r="O73" s="7"/>
    </row>
    <row r="74" spans="1:15" ht="33.75" customHeight="1">
      <c r="A74" s="30" t="s">
        <v>252</v>
      </c>
      <c r="B74" s="86">
        <v>61</v>
      </c>
      <c r="C74" s="87">
        <v>87006</v>
      </c>
      <c r="D74" s="93">
        <f>C74/$C$78</f>
        <v>0.90814771517441495</v>
      </c>
      <c r="E74" s="88">
        <v>20.05775777804466</v>
      </c>
      <c r="F74" s="89">
        <v>5.4165573724454061E-2</v>
      </c>
      <c r="J74"/>
      <c r="M74" s="6"/>
      <c r="N74" s="60"/>
      <c r="O74" s="7"/>
    </row>
    <row r="75" spans="1:15" ht="42.75">
      <c r="A75" s="30" t="s">
        <v>255</v>
      </c>
      <c r="B75" s="86">
        <v>1</v>
      </c>
      <c r="C75" s="87">
        <v>4800</v>
      </c>
      <c r="D75" s="93">
        <f>C75/$C$78</f>
        <v>5.0101246268500932E-2</v>
      </c>
      <c r="E75" s="88"/>
      <c r="F75" s="89">
        <v>3.5999999999999997E-2</v>
      </c>
      <c r="J75"/>
      <c r="M75" s="6"/>
      <c r="N75" s="60"/>
      <c r="O75" s="7"/>
    </row>
    <row r="76" spans="1:15" ht="42.75">
      <c r="A76" s="30" t="s">
        <v>254</v>
      </c>
      <c r="B76" s="86">
        <v>1</v>
      </c>
      <c r="C76" s="10">
        <v>4000</v>
      </c>
      <c r="D76" s="93">
        <f>C76/$C$78</f>
        <v>4.1751038557084105E-2</v>
      </c>
      <c r="E76" s="62">
        <v>6</v>
      </c>
      <c r="F76" s="89">
        <v>1.6202879999999999E-2</v>
      </c>
      <c r="J76"/>
      <c r="M76" s="6"/>
      <c r="N76" s="60"/>
      <c r="O76" s="7"/>
    </row>
    <row r="77" spans="1:15" s="32" customFormat="1" ht="28.5">
      <c r="A77" s="30" t="s">
        <v>253</v>
      </c>
      <c r="B77" s="86">
        <v>0</v>
      </c>
      <c r="C77" s="10">
        <v>0</v>
      </c>
      <c r="D77" s="93">
        <f>C77/$C$78</f>
        <v>0</v>
      </c>
      <c r="E77" s="62"/>
      <c r="F77" s="89">
        <v>0</v>
      </c>
      <c r="K77" s="6"/>
      <c r="L77" s="6"/>
      <c r="M77" s="6"/>
      <c r="N77" s="60"/>
      <c r="O77" s="7"/>
    </row>
    <row r="78" spans="1:15">
      <c r="A78" s="9" t="s">
        <v>235</v>
      </c>
      <c r="B78" s="86">
        <v>63</v>
      </c>
      <c r="C78" s="10">
        <v>95806</v>
      </c>
      <c r="D78" s="93">
        <f>C78/$C$78</f>
        <v>1</v>
      </c>
      <c r="E78" s="62">
        <v>19.831019749366522</v>
      </c>
      <c r="F78" s="89">
        <v>5.2703220272884085E-2</v>
      </c>
      <c r="J78"/>
      <c r="M78" s="6"/>
      <c r="N78" s="60"/>
      <c r="O78" s="7"/>
    </row>
    <row r="79" spans="1:15">
      <c r="B79" s="6"/>
      <c r="C79" s="68"/>
    </row>
    <row r="80" spans="1:15">
      <c r="B80" s="6"/>
    </row>
    <row r="82" spans="5:5">
      <c r="E82" s="65"/>
    </row>
    <row r="83" spans="5:5">
      <c r="E83" s="65"/>
    </row>
    <row r="84" spans="5:5">
      <c r="E84" s="66"/>
    </row>
    <row r="85" spans="5:5" ht="15">
      <c r="E85" s="67"/>
    </row>
    <row r="86" spans="5:5">
      <c r="E86" s="71"/>
    </row>
  </sheetData>
  <phoneticPr fontId="3"/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R3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L14" sqref="L14"/>
    </sheetView>
  </sheetViews>
  <sheetFormatPr defaultRowHeight="14.25"/>
  <cols>
    <col min="2" max="2" width="17.25" customWidth="1"/>
    <col min="3" max="17" width="10.5" customWidth="1"/>
  </cols>
  <sheetData>
    <row r="1" spans="1:18" ht="15">
      <c r="A1" s="101" t="s">
        <v>323</v>
      </c>
    </row>
    <row r="2" spans="1:18" s="31" customFormat="1" ht="99.75">
      <c r="A2" s="15"/>
      <c r="B2" s="15" t="s">
        <v>308</v>
      </c>
      <c r="C2" s="15" t="s">
        <v>301</v>
      </c>
      <c r="D2" s="15" t="s">
        <v>298</v>
      </c>
      <c r="E2" s="15" t="s">
        <v>302</v>
      </c>
      <c r="F2" s="15" t="s">
        <v>309</v>
      </c>
      <c r="G2" s="15" t="s">
        <v>303</v>
      </c>
      <c r="H2" s="15" t="s">
        <v>295</v>
      </c>
      <c r="I2" s="15" t="s">
        <v>304</v>
      </c>
      <c r="J2" s="15" t="s">
        <v>305</v>
      </c>
      <c r="K2" s="15" t="s">
        <v>311</v>
      </c>
      <c r="L2" s="4" t="s">
        <v>314</v>
      </c>
      <c r="M2" s="26" t="s">
        <v>310</v>
      </c>
      <c r="N2" s="58" t="s">
        <v>313</v>
      </c>
      <c r="O2" s="4" t="s">
        <v>334</v>
      </c>
      <c r="P2" s="58" t="s">
        <v>312</v>
      </c>
      <c r="Q2" s="4" t="s">
        <v>300</v>
      </c>
    </row>
    <row r="3" spans="1:18">
      <c r="A3" s="9">
        <v>1</v>
      </c>
      <c r="B3" s="9" t="s">
        <v>7</v>
      </c>
      <c r="C3" s="9">
        <v>8</v>
      </c>
      <c r="D3" s="9">
        <v>200</v>
      </c>
      <c r="E3" s="9"/>
      <c r="F3" s="9">
        <v>265</v>
      </c>
      <c r="G3" s="9"/>
      <c r="H3" s="9"/>
      <c r="I3" s="9">
        <v>120</v>
      </c>
      <c r="J3" s="9">
        <v>1.6</v>
      </c>
      <c r="K3" s="9">
        <v>240</v>
      </c>
      <c r="L3" s="10">
        <f t="shared" ref="L3:L24" si="0">C3*D3</f>
        <v>1600</v>
      </c>
      <c r="M3" s="10">
        <f t="shared" ref="M3:M27" si="1">D3*I3</f>
        <v>24000</v>
      </c>
      <c r="N3" s="61">
        <f t="shared" ref="N3:N27" si="2">M3/L3</f>
        <v>15</v>
      </c>
      <c r="O3" s="10">
        <f t="shared" ref="O3:O27" si="3">K3*D3</f>
        <v>48000</v>
      </c>
      <c r="P3" s="61">
        <f t="shared" ref="P3:P27" si="4">O3/L3</f>
        <v>30</v>
      </c>
      <c r="Q3" s="103">
        <f t="shared" ref="Q3:Q27" si="5">1-M3/O3</f>
        <v>0.5</v>
      </c>
      <c r="R3" s="32"/>
    </row>
    <row r="4" spans="1:18">
      <c r="A4" s="9">
        <v>2</v>
      </c>
      <c r="B4" s="9" t="s">
        <v>7</v>
      </c>
      <c r="C4" s="9">
        <v>60</v>
      </c>
      <c r="D4" s="9">
        <v>200</v>
      </c>
      <c r="E4" s="9">
        <v>700</v>
      </c>
      <c r="F4" s="9">
        <v>900</v>
      </c>
      <c r="G4" s="9">
        <v>700</v>
      </c>
      <c r="H4" s="9"/>
      <c r="I4" s="9">
        <v>200</v>
      </c>
      <c r="J4" s="9">
        <v>4.5</v>
      </c>
      <c r="K4" s="9">
        <v>700</v>
      </c>
      <c r="L4" s="10">
        <f t="shared" si="0"/>
        <v>12000</v>
      </c>
      <c r="M4" s="10">
        <f t="shared" si="1"/>
        <v>40000</v>
      </c>
      <c r="N4" s="61">
        <f t="shared" si="2"/>
        <v>3.3333333333333335</v>
      </c>
      <c r="O4" s="10">
        <f t="shared" si="3"/>
        <v>140000</v>
      </c>
      <c r="P4" s="61">
        <f t="shared" si="4"/>
        <v>11.666666666666666</v>
      </c>
      <c r="Q4" s="103">
        <f t="shared" si="5"/>
        <v>0.7142857142857143</v>
      </c>
      <c r="R4" s="32"/>
    </row>
    <row r="5" spans="1:18">
      <c r="A5" s="9">
        <v>3</v>
      </c>
      <c r="B5" s="9" t="s">
        <v>7</v>
      </c>
      <c r="C5" s="9">
        <v>24</v>
      </c>
      <c r="D5" s="9">
        <v>250</v>
      </c>
      <c r="E5" s="9"/>
      <c r="F5" s="9">
        <v>340</v>
      </c>
      <c r="G5" s="9">
        <v>120</v>
      </c>
      <c r="H5" s="9"/>
      <c r="I5" s="9">
        <v>80</v>
      </c>
      <c r="J5" s="9">
        <v>2.5</v>
      </c>
      <c r="K5" s="9">
        <v>250</v>
      </c>
      <c r="L5" s="10">
        <f t="shared" si="0"/>
        <v>6000</v>
      </c>
      <c r="M5" s="10">
        <f t="shared" si="1"/>
        <v>20000</v>
      </c>
      <c r="N5" s="61">
        <f t="shared" si="2"/>
        <v>3.3333333333333335</v>
      </c>
      <c r="O5" s="10">
        <f t="shared" si="3"/>
        <v>62500</v>
      </c>
      <c r="P5" s="61">
        <f t="shared" si="4"/>
        <v>10.416666666666666</v>
      </c>
      <c r="Q5" s="103">
        <f t="shared" si="5"/>
        <v>0.67999999999999994</v>
      </c>
      <c r="R5" s="32"/>
    </row>
    <row r="6" spans="1:18">
      <c r="A6" s="9">
        <v>4</v>
      </c>
      <c r="B6" s="9" t="s">
        <v>8</v>
      </c>
      <c r="C6" s="9">
        <v>17</v>
      </c>
      <c r="D6" s="9">
        <v>250</v>
      </c>
      <c r="E6" s="9">
        <v>75</v>
      </c>
      <c r="F6" s="9">
        <v>300</v>
      </c>
      <c r="G6" s="9">
        <v>75</v>
      </c>
      <c r="H6" s="9">
        <v>200</v>
      </c>
      <c r="I6" s="9">
        <v>150</v>
      </c>
      <c r="J6" s="9">
        <v>2</v>
      </c>
      <c r="K6" s="9">
        <v>300</v>
      </c>
      <c r="L6" s="10">
        <f t="shared" si="0"/>
        <v>4250</v>
      </c>
      <c r="M6" s="10">
        <f t="shared" si="1"/>
        <v>37500</v>
      </c>
      <c r="N6" s="61">
        <f t="shared" si="2"/>
        <v>8.8235294117647065</v>
      </c>
      <c r="O6" s="10">
        <f t="shared" si="3"/>
        <v>75000</v>
      </c>
      <c r="P6" s="61">
        <f t="shared" si="4"/>
        <v>17.647058823529413</v>
      </c>
      <c r="Q6" s="103">
        <f t="shared" si="5"/>
        <v>0.5</v>
      </c>
      <c r="R6" s="32"/>
    </row>
    <row r="7" spans="1:18">
      <c r="A7" s="9">
        <v>5</v>
      </c>
      <c r="B7" s="9" t="s">
        <v>8</v>
      </c>
      <c r="C7" s="9">
        <v>15</v>
      </c>
      <c r="D7" s="9">
        <v>250</v>
      </c>
      <c r="E7" s="9">
        <v>70</v>
      </c>
      <c r="F7" s="9">
        <v>225</v>
      </c>
      <c r="G7" s="9">
        <v>70</v>
      </c>
      <c r="H7" s="9">
        <v>150</v>
      </c>
      <c r="I7" s="9">
        <v>200</v>
      </c>
      <c r="J7" s="9">
        <v>2.5</v>
      </c>
      <c r="K7" s="9">
        <v>550</v>
      </c>
      <c r="L7" s="10">
        <f t="shared" si="0"/>
        <v>3750</v>
      </c>
      <c r="M7" s="10">
        <f t="shared" si="1"/>
        <v>50000</v>
      </c>
      <c r="N7" s="61">
        <f t="shared" si="2"/>
        <v>13.333333333333334</v>
      </c>
      <c r="O7" s="10">
        <f t="shared" si="3"/>
        <v>137500</v>
      </c>
      <c r="P7" s="61">
        <f t="shared" si="4"/>
        <v>36.666666666666664</v>
      </c>
      <c r="Q7" s="103">
        <f t="shared" si="5"/>
        <v>0.63636363636363635</v>
      </c>
      <c r="R7" s="32"/>
    </row>
    <row r="8" spans="1:18">
      <c r="A8" s="9">
        <v>6</v>
      </c>
      <c r="B8" s="9" t="s">
        <v>8</v>
      </c>
      <c r="C8" s="9">
        <v>8</v>
      </c>
      <c r="D8" s="9">
        <v>250</v>
      </c>
      <c r="E8" s="9"/>
      <c r="F8" s="9">
        <v>225</v>
      </c>
      <c r="G8" s="9">
        <v>150</v>
      </c>
      <c r="H8" s="9">
        <v>200</v>
      </c>
      <c r="I8" s="9">
        <v>70</v>
      </c>
      <c r="J8" s="9">
        <v>2.5</v>
      </c>
      <c r="K8" s="9">
        <v>220</v>
      </c>
      <c r="L8" s="10">
        <f t="shared" si="0"/>
        <v>2000</v>
      </c>
      <c r="M8" s="10">
        <f t="shared" si="1"/>
        <v>17500</v>
      </c>
      <c r="N8" s="61">
        <f t="shared" si="2"/>
        <v>8.75</v>
      </c>
      <c r="O8" s="10">
        <f t="shared" si="3"/>
        <v>55000</v>
      </c>
      <c r="P8" s="61">
        <f t="shared" si="4"/>
        <v>27.5</v>
      </c>
      <c r="Q8" s="103">
        <f t="shared" si="5"/>
        <v>0.68181818181818188</v>
      </c>
      <c r="R8" s="32"/>
    </row>
    <row r="9" spans="1:18">
      <c r="A9" s="9">
        <v>7</v>
      </c>
      <c r="B9" s="9" t="s">
        <v>8</v>
      </c>
      <c r="C9" s="9">
        <v>16</v>
      </c>
      <c r="D9" s="9">
        <v>200</v>
      </c>
      <c r="E9" s="9">
        <v>50</v>
      </c>
      <c r="F9" s="9">
        <v>340</v>
      </c>
      <c r="G9" s="9">
        <v>50</v>
      </c>
      <c r="H9" s="9">
        <v>200</v>
      </c>
      <c r="I9" s="9">
        <v>56</v>
      </c>
      <c r="J9" s="9">
        <v>2.5</v>
      </c>
      <c r="K9" s="9">
        <v>215</v>
      </c>
      <c r="L9" s="10">
        <f t="shared" si="0"/>
        <v>3200</v>
      </c>
      <c r="M9" s="10">
        <f t="shared" si="1"/>
        <v>11200</v>
      </c>
      <c r="N9" s="61">
        <f t="shared" si="2"/>
        <v>3.5</v>
      </c>
      <c r="O9" s="10">
        <f t="shared" si="3"/>
        <v>43000</v>
      </c>
      <c r="P9" s="61">
        <f t="shared" si="4"/>
        <v>13.4375</v>
      </c>
      <c r="Q9" s="103">
        <f t="shared" si="5"/>
        <v>0.73953488372093024</v>
      </c>
      <c r="R9" s="32"/>
    </row>
    <row r="10" spans="1:18">
      <c r="A10" s="9">
        <v>8</v>
      </c>
      <c r="B10" s="9" t="s">
        <v>293</v>
      </c>
      <c r="C10" s="9">
        <v>27</v>
      </c>
      <c r="D10" s="9">
        <v>198</v>
      </c>
      <c r="E10" s="9">
        <v>500</v>
      </c>
      <c r="F10" s="9">
        <v>900</v>
      </c>
      <c r="G10" s="9">
        <v>500</v>
      </c>
      <c r="H10" s="9">
        <v>600</v>
      </c>
      <c r="I10" s="9">
        <v>250</v>
      </c>
      <c r="J10" s="9">
        <v>5.5</v>
      </c>
      <c r="K10" s="9">
        <v>550</v>
      </c>
      <c r="L10" s="10">
        <f t="shared" si="0"/>
        <v>5346</v>
      </c>
      <c r="M10" s="10">
        <f t="shared" si="1"/>
        <v>49500</v>
      </c>
      <c r="N10" s="61">
        <f t="shared" si="2"/>
        <v>9.2592592592592595</v>
      </c>
      <c r="O10" s="10">
        <f t="shared" si="3"/>
        <v>108900</v>
      </c>
      <c r="P10" s="61">
        <f t="shared" si="4"/>
        <v>20.37037037037037</v>
      </c>
      <c r="Q10" s="103">
        <f t="shared" si="5"/>
        <v>0.54545454545454541</v>
      </c>
      <c r="R10" s="32"/>
    </row>
    <row r="11" spans="1:18">
      <c r="A11" s="9">
        <v>9</v>
      </c>
      <c r="B11" s="9" t="s">
        <v>293</v>
      </c>
      <c r="C11" s="9">
        <v>15</v>
      </c>
      <c r="D11" s="9">
        <v>200</v>
      </c>
      <c r="E11" s="9">
        <v>100</v>
      </c>
      <c r="F11" s="9">
        <v>340</v>
      </c>
      <c r="G11" s="9"/>
      <c r="H11" s="9">
        <v>200</v>
      </c>
      <c r="I11" s="9">
        <v>150</v>
      </c>
      <c r="J11" s="9">
        <v>2.5</v>
      </c>
      <c r="K11" s="9">
        <v>450</v>
      </c>
      <c r="L11" s="10">
        <f t="shared" si="0"/>
        <v>3000</v>
      </c>
      <c r="M11" s="10">
        <f t="shared" si="1"/>
        <v>30000</v>
      </c>
      <c r="N11" s="61">
        <f t="shared" si="2"/>
        <v>10</v>
      </c>
      <c r="O11" s="10">
        <f t="shared" si="3"/>
        <v>90000</v>
      </c>
      <c r="P11" s="61">
        <f t="shared" si="4"/>
        <v>30</v>
      </c>
      <c r="Q11" s="103">
        <f t="shared" si="5"/>
        <v>0.66666666666666674</v>
      </c>
      <c r="R11" s="32"/>
    </row>
    <row r="12" spans="1:18">
      <c r="A12" s="9">
        <v>10</v>
      </c>
      <c r="B12" s="9" t="s">
        <v>293</v>
      </c>
      <c r="C12" s="9">
        <v>33</v>
      </c>
      <c r="D12" s="9">
        <v>200</v>
      </c>
      <c r="E12" s="9">
        <v>3000</v>
      </c>
      <c r="F12" s="9">
        <v>700</v>
      </c>
      <c r="G12" s="9"/>
      <c r="H12" s="9"/>
      <c r="I12" s="9">
        <v>150</v>
      </c>
      <c r="J12" s="9">
        <v>6</v>
      </c>
      <c r="K12" s="9">
        <v>500</v>
      </c>
      <c r="L12" s="10">
        <f t="shared" si="0"/>
        <v>6600</v>
      </c>
      <c r="M12" s="10">
        <f t="shared" si="1"/>
        <v>30000</v>
      </c>
      <c r="N12" s="61">
        <f t="shared" si="2"/>
        <v>4.5454545454545459</v>
      </c>
      <c r="O12" s="10">
        <f t="shared" si="3"/>
        <v>100000</v>
      </c>
      <c r="P12" s="61">
        <f t="shared" si="4"/>
        <v>15.151515151515152</v>
      </c>
      <c r="Q12" s="103">
        <f t="shared" si="5"/>
        <v>0.7</v>
      </c>
      <c r="R12" s="32"/>
    </row>
    <row r="13" spans="1:18">
      <c r="A13" s="9">
        <v>11</v>
      </c>
      <c r="B13" s="9" t="s">
        <v>293</v>
      </c>
      <c r="C13" s="9">
        <v>30</v>
      </c>
      <c r="D13" s="9">
        <v>200</v>
      </c>
      <c r="E13" s="9">
        <v>600</v>
      </c>
      <c r="F13" s="9">
        <v>700</v>
      </c>
      <c r="G13" s="9"/>
      <c r="H13" s="9">
        <v>250</v>
      </c>
      <c r="I13" s="9">
        <v>240</v>
      </c>
      <c r="J13" s="9">
        <v>7.5</v>
      </c>
      <c r="K13" s="9">
        <v>600</v>
      </c>
      <c r="L13" s="10">
        <f t="shared" si="0"/>
        <v>6000</v>
      </c>
      <c r="M13" s="10">
        <f t="shared" si="1"/>
        <v>48000</v>
      </c>
      <c r="N13" s="61">
        <f t="shared" si="2"/>
        <v>8</v>
      </c>
      <c r="O13" s="10">
        <f t="shared" si="3"/>
        <v>120000</v>
      </c>
      <c r="P13" s="61">
        <f t="shared" si="4"/>
        <v>20</v>
      </c>
      <c r="Q13" s="103">
        <f t="shared" si="5"/>
        <v>0.6</v>
      </c>
      <c r="R13" s="32"/>
    </row>
    <row r="14" spans="1:18">
      <c r="A14" s="9">
        <v>12</v>
      </c>
      <c r="B14" s="9" t="s">
        <v>8</v>
      </c>
      <c r="C14" s="9">
        <v>20</v>
      </c>
      <c r="D14" s="9">
        <v>200</v>
      </c>
      <c r="E14" s="9"/>
      <c r="F14" s="9">
        <v>340</v>
      </c>
      <c r="G14" s="9"/>
      <c r="H14" s="9"/>
      <c r="I14" s="9">
        <v>120</v>
      </c>
      <c r="J14" s="9">
        <v>3</v>
      </c>
      <c r="K14" s="9">
        <v>360</v>
      </c>
      <c r="L14" s="10">
        <f t="shared" si="0"/>
        <v>4000</v>
      </c>
      <c r="M14" s="10">
        <f t="shared" si="1"/>
        <v>24000</v>
      </c>
      <c r="N14" s="61">
        <f t="shared" si="2"/>
        <v>6</v>
      </c>
      <c r="O14" s="10">
        <f t="shared" si="3"/>
        <v>72000</v>
      </c>
      <c r="P14" s="61">
        <f t="shared" si="4"/>
        <v>18</v>
      </c>
      <c r="Q14" s="103">
        <f t="shared" si="5"/>
        <v>0.66666666666666674</v>
      </c>
      <c r="R14" s="32"/>
    </row>
    <row r="15" spans="1:18">
      <c r="A15" s="9">
        <v>13</v>
      </c>
      <c r="B15" s="9" t="s">
        <v>293</v>
      </c>
      <c r="C15" s="9">
        <v>15</v>
      </c>
      <c r="D15" s="9">
        <v>200</v>
      </c>
      <c r="E15" s="9">
        <v>100</v>
      </c>
      <c r="F15" s="9">
        <v>225</v>
      </c>
      <c r="G15" s="9"/>
      <c r="H15" s="9"/>
      <c r="I15" s="9">
        <v>90</v>
      </c>
      <c r="J15" s="9">
        <v>1</v>
      </c>
      <c r="K15" s="9">
        <v>380</v>
      </c>
      <c r="L15" s="10">
        <f t="shared" si="0"/>
        <v>3000</v>
      </c>
      <c r="M15" s="10">
        <f t="shared" si="1"/>
        <v>18000</v>
      </c>
      <c r="N15" s="61">
        <f t="shared" si="2"/>
        <v>6</v>
      </c>
      <c r="O15" s="10">
        <f t="shared" si="3"/>
        <v>76000</v>
      </c>
      <c r="P15" s="61">
        <f t="shared" si="4"/>
        <v>25.333333333333332</v>
      </c>
      <c r="Q15" s="103">
        <f t="shared" si="5"/>
        <v>0.76315789473684215</v>
      </c>
      <c r="R15" s="32"/>
    </row>
    <row r="16" spans="1:18">
      <c r="A16" s="9">
        <v>14</v>
      </c>
      <c r="B16" s="9" t="s">
        <v>9</v>
      </c>
      <c r="C16" s="9">
        <v>36</v>
      </c>
      <c r="D16" s="9">
        <v>300</v>
      </c>
      <c r="E16" s="9"/>
      <c r="F16" s="9"/>
      <c r="G16" s="9"/>
      <c r="H16" s="9"/>
      <c r="I16" s="9">
        <v>180</v>
      </c>
      <c r="J16" s="9">
        <v>10</v>
      </c>
      <c r="K16" s="9">
        <v>600</v>
      </c>
      <c r="L16" s="10">
        <f t="shared" si="0"/>
        <v>10800</v>
      </c>
      <c r="M16" s="10">
        <f t="shared" si="1"/>
        <v>54000</v>
      </c>
      <c r="N16" s="61">
        <f t="shared" si="2"/>
        <v>5</v>
      </c>
      <c r="O16" s="10">
        <f t="shared" si="3"/>
        <v>180000</v>
      </c>
      <c r="P16" s="61">
        <f t="shared" si="4"/>
        <v>16.666666666666668</v>
      </c>
      <c r="Q16" s="103">
        <f t="shared" si="5"/>
        <v>0.7</v>
      </c>
      <c r="R16" s="32"/>
    </row>
    <row r="17" spans="1:18">
      <c r="A17" s="9">
        <v>15</v>
      </c>
      <c r="B17" s="9" t="s">
        <v>9</v>
      </c>
      <c r="C17" s="9">
        <v>15</v>
      </c>
      <c r="D17" s="9">
        <v>270</v>
      </c>
      <c r="E17" s="9"/>
      <c r="F17" s="9"/>
      <c r="G17" s="9"/>
      <c r="H17" s="9"/>
      <c r="I17" s="9">
        <v>150</v>
      </c>
      <c r="J17" s="9">
        <v>2.5</v>
      </c>
      <c r="K17" s="9">
        <v>350</v>
      </c>
      <c r="L17" s="10">
        <f t="shared" si="0"/>
        <v>4050</v>
      </c>
      <c r="M17" s="10">
        <f t="shared" si="1"/>
        <v>40500</v>
      </c>
      <c r="N17" s="61">
        <f t="shared" si="2"/>
        <v>10</v>
      </c>
      <c r="O17" s="10">
        <f t="shared" si="3"/>
        <v>94500</v>
      </c>
      <c r="P17" s="61">
        <f t="shared" si="4"/>
        <v>23.333333333333332</v>
      </c>
      <c r="Q17" s="103">
        <f t="shared" si="5"/>
        <v>0.5714285714285714</v>
      </c>
      <c r="R17" s="32"/>
    </row>
    <row r="18" spans="1:18">
      <c r="A18" s="9">
        <v>16</v>
      </c>
      <c r="B18" s="9" t="s">
        <v>9</v>
      </c>
      <c r="C18" s="9">
        <v>60</v>
      </c>
      <c r="D18" s="9">
        <v>200</v>
      </c>
      <c r="E18" s="9">
        <v>700</v>
      </c>
      <c r="F18" s="9">
        <v>900</v>
      </c>
      <c r="G18" s="9">
        <v>700</v>
      </c>
      <c r="H18" s="9"/>
      <c r="I18" s="9">
        <v>200</v>
      </c>
      <c r="J18" s="9">
        <v>4.5</v>
      </c>
      <c r="K18" s="9">
        <v>700</v>
      </c>
      <c r="L18" s="10">
        <f t="shared" si="0"/>
        <v>12000</v>
      </c>
      <c r="M18" s="10">
        <f t="shared" si="1"/>
        <v>40000</v>
      </c>
      <c r="N18" s="61">
        <f t="shared" si="2"/>
        <v>3.3333333333333335</v>
      </c>
      <c r="O18" s="10">
        <f t="shared" si="3"/>
        <v>140000</v>
      </c>
      <c r="P18" s="61">
        <f t="shared" si="4"/>
        <v>11.666666666666666</v>
      </c>
      <c r="Q18" s="103">
        <f t="shared" si="5"/>
        <v>0.7142857142857143</v>
      </c>
      <c r="R18" s="32"/>
    </row>
    <row r="19" spans="1:18">
      <c r="A19" s="9">
        <v>17</v>
      </c>
      <c r="B19" s="9" t="s">
        <v>222</v>
      </c>
      <c r="C19" s="9">
        <v>27</v>
      </c>
      <c r="D19" s="9">
        <v>198</v>
      </c>
      <c r="E19" s="9">
        <v>500</v>
      </c>
      <c r="F19" s="9">
        <v>900</v>
      </c>
      <c r="G19" s="9">
        <v>500</v>
      </c>
      <c r="H19" s="9"/>
      <c r="I19" s="9">
        <v>250</v>
      </c>
      <c r="J19" s="9">
        <v>5.5</v>
      </c>
      <c r="K19" s="9">
        <v>550</v>
      </c>
      <c r="L19" s="10">
        <f t="shared" si="0"/>
        <v>5346</v>
      </c>
      <c r="M19" s="10">
        <f t="shared" si="1"/>
        <v>49500</v>
      </c>
      <c r="N19" s="61">
        <f t="shared" si="2"/>
        <v>9.2592592592592595</v>
      </c>
      <c r="O19" s="10">
        <f t="shared" si="3"/>
        <v>108900</v>
      </c>
      <c r="P19" s="61">
        <f t="shared" si="4"/>
        <v>20.37037037037037</v>
      </c>
      <c r="Q19" s="103">
        <f t="shared" si="5"/>
        <v>0.54545454545454541</v>
      </c>
      <c r="R19" s="32"/>
    </row>
    <row r="20" spans="1:18">
      <c r="A20" s="9">
        <v>18</v>
      </c>
      <c r="B20" s="9" t="s">
        <v>222</v>
      </c>
      <c r="C20" s="9">
        <v>30</v>
      </c>
      <c r="D20" s="9">
        <v>200</v>
      </c>
      <c r="E20" s="9">
        <v>600</v>
      </c>
      <c r="F20" s="9">
        <v>700</v>
      </c>
      <c r="G20" s="9"/>
      <c r="H20" s="9"/>
      <c r="I20" s="9">
        <v>240</v>
      </c>
      <c r="J20" s="9">
        <v>7.5</v>
      </c>
      <c r="K20" s="9">
        <v>600</v>
      </c>
      <c r="L20" s="10">
        <f t="shared" si="0"/>
        <v>6000</v>
      </c>
      <c r="M20" s="10">
        <f t="shared" si="1"/>
        <v>48000</v>
      </c>
      <c r="N20" s="61">
        <f t="shared" si="2"/>
        <v>8</v>
      </c>
      <c r="O20" s="10">
        <f t="shared" si="3"/>
        <v>120000</v>
      </c>
      <c r="P20" s="61">
        <f t="shared" si="4"/>
        <v>20</v>
      </c>
      <c r="Q20" s="103">
        <f t="shared" si="5"/>
        <v>0.6</v>
      </c>
      <c r="R20" s="32"/>
    </row>
    <row r="21" spans="1:18">
      <c r="A21" s="9">
        <v>19</v>
      </c>
      <c r="B21" s="9" t="s">
        <v>222</v>
      </c>
      <c r="C21" s="9">
        <v>30</v>
      </c>
      <c r="D21" s="9">
        <v>300</v>
      </c>
      <c r="E21" s="9"/>
      <c r="F21" s="9"/>
      <c r="G21" s="9"/>
      <c r="H21" s="9"/>
      <c r="I21" s="9">
        <v>210</v>
      </c>
      <c r="J21" s="9">
        <v>5</v>
      </c>
      <c r="K21" s="9">
        <v>550</v>
      </c>
      <c r="L21" s="10">
        <f t="shared" si="0"/>
        <v>9000</v>
      </c>
      <c r="M21" s="10">
        <f t="shared" si="1"/>
        <v>63000</v>
      </c>
      <c r="N21" s="61">
        <f t="shared" si="2"/>
        <v>7</v>
      </c>
      <c r="O21" s="10">
        <f t="shared" si="3"/>
        <v>165000</v>
      </c>
      <c r="P21" s="61">
        <f t="shared" si="4"/>
        <v>18.333333333333332</v>
      </c>
      <c r="Q21" s="103">
        <f t="shared" si="5"/>
        <v>0.61818181818181817</v>
      </c>
      <c r="R21" s="32"/>
    </row>
    <row r="22" spans="1:18">
      <c r="A22" s="9">
        <v>20</v>
      </c>
      <c r="B22" s="9" t="s">
        <v>222</v>
      </c>
      <c r="C22" s="9">
        <v>18</v>
      </c>
      <c r="D22" s="9">
        <v>300</v>
      </c>
      <c r="E22" s="9"/>
      <c r="F22" s="9"/>
      <c r="G22" s="9"/>
      <c r="H22" s="9">
        <v>250</v>
      </c>
      <c r="I22" s="9">
        <v>90</v>
      </c>
      <c r="J22" s="9">
        <v>2.6</v>
      </c>
      <c r="K22" s="9">
        <v>390</v>
      </c>
      <c r="L22" s="10">
        <f t="shared" si="0"/>
        <v>5400</v>
      </c>
      <c r="M22" s="10">
        <f t="shared" si="1"/>
        <v>27000</v>
      </c>
      <c r="N22" s="61">
        <f t="shared" si="2"/>
        <v>5</v>
      </c>
      <c r="O22" s="10">
        <f t="shared" si="3"/>
        <v>117000</v>
      </c>
      <c r="P22" s="61">
        <f t="shared" si="4"/>
        <v>21.666666666666668</v>
      </c>
      <c r="Q22" s="103">
        <f t="shared" si="5"/>
        <v>0.76923076923076916</v>
      </c>
      <c r="R22" s="32"/>
    </row>
    <row r="23" spans="1:18">
      <c r="A23" s="9">
        <v>21</v>
      </c>
      <c r="B23" s="9" t="s">
        <v>217</v>
      </c>
      <c r="C23" s="9">
        <v>80</v>
      </c>
      <c r="D23" s="9">
        <v>300</v>
      </c>
      <c r="E23" s="9">
        <v>1400</v>
      </c>
      <c r="F23" s="9"/>
      <c r="G23" s="9"/>
      <c r="H23" s="9"/>
      <c r="I23" s="9">
        <v>600</v>
      </c>
      <c r="J23" s="9">
        <v>10</v>
      </c>
      <c r="K23" s="9">
        <v>1500</v>
      </c>
      <c r="L23" s="10">
        <f t="shared" si="0"/>
        <v>24000</v>
      </c>
      <c r="M23" s="10">
        <f t="shared" si="1"/>
        <v>180000</v>
      </c>
      <c r="N23" s="61">
        <f t="shared" si="2"/>
        <v>7.5</v>
      </c>
      <c r="O23" s="10">
        <f t="shared" si="3"/>
        <v>450000</v>
      </c>
      <c r="P23" s="61">
        <f t="shared" si="4"/>
        <v>18.75</v>
      </c>
      <c r="Q23" s="103">
        <f t="shared" si="5"/>
        <v>0.6</v>
      </c>
      <c r="R23" s="32"/>
    </row>
    <row r="24" spans="1:18">
      <c r="A24" s="9">
        <v>22</v>
      </c>
      <c r="B24" s="9" t="s">
        <v>220</v>
      </c>
      <c r="C24" s="9">
        <v>30</v>
      </c>
      <c r="D24" s="9">
        <v>200</v>
      </c>
      <c r="E24" s="9">
        <v>600</v>
      </c>
      <c r="F24" s="9">
        <v>700</v>
      </c>
      <c r="G24" s="9"/>
      <c r="H24" s="9">
        <v>200</v>
      </c>
      <c r="I24" s="9">
        <v>240</v>
      </c>
      <c r="J24" s="9">
        <v>7.5</v>
      </c>
      <c r="K24" s="9">
        <v>600</v>
      </c>
      <c r="L24" s="10">
        <f t="shared" si="0"/>
        <v>6000</v>
      </c>
      <c r="M24" s="10">
        <f t="shared" si="1"/>
        <v>48000</v>
      </c>
      <c r="N24" s="61">
        <f t="shared" si="2"/>
        <v>8</v>
      </c>
      <c r="O24" s="10">
        <f t="shared" si="3"/>
        <v>120000</v>
      </c>
      <c r="P24" s="61">
        <f t="shared" si="4"/>
        <v>20</v>
      </c>
      <c r="Q24" s="103">
        <f t="shared" si="5"/>
        <v>0.6</v>
      </c>
      <c r="R24" s="32"/>
    </row>
    <row r="25" spans="1:18">
      <c r="A25" s="9">
        <v>23</v>
      </c>
      <c r="B25" s="9" t="s">
        <v>222</v>
      </c>
      <c r="C25" s="11" t="s">
        <v>294</v>
      </c>
      <c r="D25" s="9">
        <v>325</v>
      </c>
      <c r="E25" s="9"/>
      <c r="F25" s="11" t="s">
        <v>306</v>
      </c>
      <c r="G25" s="11"/>
      <c r="H25" s="11" t="s">
        <v>297</v>
      </c>
      <c r="I25" s="9">
        <v>204</v>
      </c>
      <c r="J25" s="9">
        <v>1.6875</v>
      </c>
      <c r="K25" s="9">
        <v>708</v>
      </c>
      <c r="L25" s="10">
        <f>27.5*D25</f>
        <v>8937.5</v>
      </c>
      <c r="M25" s="10">
        <f t="shared" si="1"/>
        <v>66300</v>
      </c>
      <c r="N25" s="61">
        <f t="shared" si="2"/>
        <v>7.418181818181818</v>
      </c>
      <c r="O25" s="10">
        <f t="shared" si="3"/>
        <v>230100</v>
      </c>
      <c r="P25" s="61">
        <f t="shared" si="4"/>
        <v>25.745454545454546</v>
      </c>
      <c r="Q25" s="103">
        <f t="shared" si="5"/>
        <v>0.71186440677966101</v>
      </c>
      <c r="R25" s="32"/>
    </row>
    <row r="26" spans="1:18">
      <c r="A26" s="9">
        <v>24</v>
      </c>
      <c r="B26" s="9" t="s">
        <v>222</v>
      </c>
      <c r="C26" s="9">
        <v>12</v>
      </c>
      <c r="D26" s="9">
        <v>250</v>
      </c>
      <c r="E26" s="9"/>
      <c r="F26" s="9">
        <v>150</v>
      </c>
      <c r="G26" s="9">
        <v>150</v>
      </c>
      <c r="H26" s="9"/>
      <c r="I26" s="9">
        <v>60</v>
      </c>
      <c r="J26" s="9">
        <v>2</v>
      </c>
      <c r="K26" s="9">
        <v>300</v>
      </c>
      <c r="L26" s="10">
        <f>C26*D26</f>
        <v>3000</v>
      </c>
      <c r="M26" s="10">
        <f t="shared" si="1"/>
        <v>15000</v>
      </c>
      <c r="N26" s="61">
        <f t="shared" si="2"/>
        <v>5</v>
      </c>
      <c r="O26" s="10">
        <f t="shared" si="3"/>
        <v>75000</v>
      </c>
      <c r="P26" s="61">
        <f t="shared" si="4"/>
        <v>25</v>
      </c>
      <c r="Q26" s="103">
        <f t="shared" si="5"/>
        <v>0.8</v>
      </c>
      <c r="R26" s="32"/>
    </row>
    <row r="27" spans="1:18" ht="28.5">
      <c r="A27" s="9">
        <v>25</v>
      </c>
      <c r="B27" s="9" t="s">
        <v>296</v>
      </c>
      <c r="C27" s="9">
        <v>19.2</v>
      </c>
      <c r="D27" s="9">
        <v>250</v>
      </c>
      <c r="E27" s="9"/>
      <c r="F27" s="15" t="s">
        <v>299</v>
      </c>
      <c r="G27" s="9">
        <v>150</v>
      </c>
      <c r="H27" s="9"/>
      <c r="I27" s="9">
        <v>100</v>
      </c>
      <c r="J27" s="9"/>
      <c r="K27" s="9">
        <v>288</v>
      </c>
      <c r="L27" s="10">
        <f>C27*D27</f>
        <v>4800</v>
      </c>
      <c r="M27" s="10">
        <f t="shared" si="1"/>
        <v>25000</v>
      </c>
      <c r="N27" s="61">
        <f t="shared" si="2"/>
        <v>5.208333333333333</v>
      </c>
      <c r="O27" s="10">
        <f t="shared" si="3"/>
        <v>72000</v>
      </c>
      <c r="P27" s="61">
        <f t="shared" si="4"/>
        <v>15</v>
      </c>
      <c r="Q27" s="103">
        <f t="shared" si="5"/>
        <v>0.65277777777777779</v>
      </c>
      <c r="R27" s="32"/>
    </row>
    <row r="28" spans="1:18">
      <c r="A28" s="9"/>
      <c r="B28" s="20" t="s">
        <v>307</v>
      </c>
      <c r="C28" s="9"/>
      <c r="D28" s="9"/>
      <c r="E28" s="9"/>
      <c r="F28" s="9"/>
      <c r="G28" s="9"/>
      <c r="H28" s="9"/>
      <c r="I28" s="9"/>
      <c r="J28" s="9"/>
      <c r="K28" s="9"/>
      <c r="L28" s="104"/>
      <c r="M28" s="9"/>
      <c r="N28" s="104">
        <f>AVERAGE(N3:N27)</f>
        <v>7.2238940384234498</v>
      </c>
      <c r="O28" s="9"/>
      <c r="P28" s="104">
        <f>AVERAGE(P3:P27)</f>
        <v>20.508890770449597</v>
      </c>
      <c r="Q28" s="103">
        <f>AVERAGE(Q3:Q27)</f>
        <v>0.65108687171408164</v>
      </c>
    </row>
    <row r="29" spans="1:18">
      <c r="A29" s="32" t="s">
        <v>333</v>
      </c>
    </row>
    <row r="30" spans="1:18">
      <c r="A30" s="105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Sheet1</vt:lpstr>
      <vt:lpstr>Tech1</vt:lpstr>
      <vt:lpstr>Tech2</vt:lpstr>
      <vt:lpstr>Tech3</vt:lpstr>
      <vt:lpstr>Tech4</vt:lpstr>
      <vt:lpstr>Comparison</vt:lpstr>
      <vt:lpstr>Sample</vt:lpstr>
      <vt:lpstr>Gasification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a-fukui</dc:creator>
  <cp:lastModifiedBy>a-fukui</cp:lastModifiedBy>
  <dcterms:created xsi:type="dcterms:W3CDTF">2012-06-27T07:45:59Z</dcterms:created>
  <dcterms:modified xsi:type="dcterms:W3CDTF">2012-08-09T07:53:13Z</dcterms:modified>
</cp:coreProperties>
</file>