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390" windowHeight="8445" activeTab="2"/>
  </bookViews>
  <sheets>
    <sheet name="BASELINE EMISSION" sheetId="1" r:id="rId1"/>
    <sheet name="PROJECT EMISSION" sheetId="2" r:id="rId2"/>
    <sheet name="LEAKAGE&amp;ER" sheetId="3" r:id="rId3"/>
  </sheets>
  <definedNames>
    <definedName name="_Toc147547213" localSheetId="1">'PROJECT EMISSION'!#REF!</definedName>
  </definedNames>
  <calcPr fullCalcOnLoad="1"/>
</workbook>
</file>

<file path=xl/comments1.xml><?xml version="1.0" encoding="utf-8"?>
<comments xmlns="http://schemas.openxmlformats.org/spreadsheetml/2006/main">
  <authors>
    <author>donghm</author>
  </authors>
  <commentList>
    <comment ref="B7" authorId="0">
      <text>
        <r>
          <rPr>
            <b/>
            <sz val="9"/>
            <rFont val="宋体"/>
            <family val="0"/>
          </rPr>
          <t>Default VS=0.01
Default Weight =0.9
Site weight=0.9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<sst xmlns="http://schemas.openxmlformats.org/spreadsheetml/2006/main" count="526" uniqueCount="269">
  <si>
    <t>BASELINE EMISSIONS (OPEN ANAEROBIC LAGOON)</t>
  </si>
  <si>
    <t>-</t>
  </si>
  <si>
    <t>%</t>
  </si>
  <si>
    <t>Unit</t>
  </si>
  <si>
    <t>Parameter</t>
  </si>
  <si>
    <t>Source</t>
  </si>
  <si>
    <t>Density CH4 (20 oC, i atm)</t>
  </si>
  <si>
    <t>nr Heads</t>
  </si>
  <si>
    <t>Livestock of a defined population</t>
  </si>
  <si>
    <t>kg</t>
  </si>
  <si>
    <t>At the project site</t>
  </si>
  <si>
    <r>
      <t>GWP</t>
    </r>
    <r>
      <rPr>
        <i/>
        <vertAlign val="subscript"/>
        <sz val="10"/>
        <rFont val="Arial"/>
        <family val="2"/>
      </rPr>
      <t>CH4</t>
    </r>
  </si>
  <si>
    <r>
      <t>D</t>
    </r>
    <r>
      <rPr>
        <i/>
        <vertAlign val="subscript"/>
        <sz val="10"/>
        <rFont val="Arial"/>
        <family val="2"/>
      </rPr>
      <t>CH4</t>
    </r>
  </si>
  <si>
    <r>
      <t>N</t>
    </r>
    <r>
      <rPr>
        <i/>
        <vertAlign val="subscript"/>
        <sz val="10"/>
        <rFont val="Arial"/>
        <family val="2"/>
      </rPr>
      <t>population</t>
    </r>
  </si>
  <si>
    <t>Broiler chicken</t>
  </si>
  <si>
    <t>Layer chicken</t>
  </si>
  <si>
    <r>
      <t>VS</t>
    </r>
    <r>
      <rPr>
        <i/>
        <sz val="8"/>
        <rFont val="Arial"/>
        <family val="2"/>
      </rPr>
      <t>LT,y</t>
    </r>
  </si>
  <si>
    <t>kg-dm/day</t>
  </si>
  <si>
    <t xml:space="preserve">2006 IPCC guideline, volume 4, chapter 10 </t>
  </si>
  <si>
    <t>AM0010</t>
  </si>
  <si>
    <t>MCFj</t>
  </si>
  <si>
    <t>Uncertainty</t>
  </si>
  <si>
    <r>
      <t>t/m</t>
    </r>
    <r>
      <rPr>
        <vertAlign val="superscript"/>
        <sz val="10"/>
        <rFont val="Arial"/>
        <family val="2"/>
      </rPr>
      <t>3</t>
    </r>
  </si>
  <si>
    <r>
      <t>B</t>
    </r>
    <r>
      <rPr>
        <i/>
        <sz val="8"/>
        <rFont val="Arial"/>
        <family val="2"/>
      </rPr>
      <t>o,LT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</si>
  <si>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/kg_dm</t>
    </r>
  </si>
  <si>
    <t>MS%Bl,j</t>
  </si>
  <si>
    <t>CH4 (tCO2e)</t>
  </si>
  <si>
    <r>
      <t>BE</t>
    </r>
    <r>
      <rPr>
        <i/>
        <sz val="8"/>
        <rFont val="Arial"/>
        <family val="2"/>
      </rPr>
      <t>CH4,y</t>
    </r>
    <r>
      <rPr>
        <b/>
        <sz val="10"/>
        <rFont val="Arial"/>
        <family val="2"/>
      </rPr>
      <t xml:space="preserve"> = GWP</t>
    </r>
    <r>
      <rPr>
        <i/>
        <sz val="8"/>
        <rFont val="Arial"/>
        <family val="2"/>
      </rPr>
      <t>CH4,y</t>
    </r>
    <r>
      <rPr>
        <b/>
        <sz val="10"/>
        <rFont val="Arial"/>
        <family val="2"/>
      </rPr>
      <t xml:space="preserve"> * D</t>
    </r>
    <r>
      <rPr>
        <i/>
        <sz val="8"/>
        <rFont val="Arial"/>
        <family val="2"/>
      </rPr>
      <t>CH4</t>
    </r>
    <r>
      <rPr>
        <b/>
        <sz val="10"/>
        <rFont val="Arial"/>
        <family val="2"/>
      </rPr>
      <t xml:space="preserve"> * MCF</t>
    </r>
    <r>
      <rPr>
        <i/>
        <sz val="8"/>
        <rFont val="Arial"/>
        <family val="2"/>
      </rPr>
      <t>j</t>
    </r>
    <r>
      <rPr>
        <b/>
        <sz val="10"/>
        <rFont val="Arial"/>
        <family val="2"/>
      </rPr>
      <t xml:space="preserve"> * B</t>
    </r>
    <r>
      <rPr>
        <sz val="8"/>
        <rFont val="Arial"/>
        <family val="2"/>
      </rPr>
      <t>o,LT</t>
    </r>
    <r>
      <rPr>
        <b/>
        <sz val="10"/>
        <rFont val="Arial"/>
        <family val="2"/>
      </rPr>
      <t xml:space="preserve"> * N * VS</t>
    </r>
    <r>
      <rPr>
        <i/>
        <sz val="8"/>
        <rFont val="Arial"/>
        <family val="2"/>
      </rPr>
      <t>LT,y</t>
    </r>
    <r>
      <rPr>
        <b/>
        <sz val="10"/>
        <rFont val="Arial"/>
        <family val="2"/>
      </rPr>
      <t xml:space="preserve"> * MS%</t>
    </r>
    <r>
      <rPr>
        <i/>
        <sz val="8"/>
        <rFont val="Arial"/>
        <family val="2"/>
      </rPr>
      <t>Bl,j</t>
    </r>
  </si>
  <si>
    <r>
      <t>BE</t>
    </r>
    <r>
      <rPr>
        <i/>
        <sz val="8"/>
        <rFont val="Arial"/>
        <family val="2"/>
      </rPr>
      <t xml:space="preserve">N2O,D,Y </t>
    </r>
    <r>
      <rPr>
        <b/>
        <sz val="10"/>
        <rFont val="Arial"/>
        <family val="2"/>
      </rPr>
      <t>=GWP</t>
    </r>
    <r>
      <rPr>
        <i/>
        <sz val="8"/>
        <rFont val="Arial"/>
        <family val="2"/>
      </rPr>
      <t>N2O</t>
    </r>
    <r>
      <rPr>
        <b/>
        <sz val="10"/>
        <rFont val="Arial"/>
        <family val="2"/>
      </rPr>
      <t>*</t>
    </r>
  </si>
  <si>
    <r>
      <t>kg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O/kg N</t>
    </r>
  </si>
  <si>
    <t>Direct N2O Emissions</t>
  </si>
  <si>
    <r>
      <t>CF</t>
    </r>
    <r>
      <rPr>
        <i/>
        <vertAlign val="subscript"/>
        <sz val="10"/>
        <rFont val="Arial"/>
        <family val="2"/>
      </rPr>
      <t>N2O-N,N</t>
    </r>
  </si>
  <si>
    <t xml:space="preserve">                               Value</t>
  </si>
  <si>
    <r>
      <t>GWP</t>
    </r>
    <r>
      <rPr>
        <i/>
        <vertAlign val="subscript"/>
        <sz val="10"/>
        <rFont val="Arial"/>
        <family val="2"/>
      </rPr>
      <t>N2O</t>
    </r>
  </si>
  <si>
    <t>44/28</t>
  </si>
  <si>
    <t>kgN/1000kg weight/day</t>
  </si>
  <si>
    <t>2006 IPCC default value</t>
  </si>
  <si>
    <t>N2O (tCO2e)</t>
  </si>
  <si>
    <t xml:space="preserve">                              Value </t>
  </si>
  <si>
    <t>2006 IPCC Guidelines, volume 4, chapter 10</t>
  </si>
  <si>
    <t xml:space="preserve">Default value for EF3, </t>
  </si>
  <si>
    <t>Indirect N2O Emissions</t>
  </si>
  <si>
    <r>
      <t>EF</t>
    </r>
    <r>
      <rPr>
        <i/>
        <vertAlign val="subscript"/>
        <sz val="10"/>
        <rFont val="Arial"/>
        <family val="2"/>
      </rPr>
      <t>N2O,D,j</t>
    </r>
  </si>
  <si>
    <r>
      <t>CF</t>
    </r>
    <r>
      <rPr>
        <i/>
        <sz val="8"/>
        <rFont val="Arial"/>
        <family val="2"/>
      </rPr>
      <t>N2O-N,N /</t>
    </r>
    <r>
      <rPr>
        <b/>
        <sz val="10"/>
        <rFont val="Arial"/>
        <family val="2"/>
      </rPr>
      <t>1000*EF</t>
    </r>
    <r>
      <rPr>
        <i/>
        <sz val="8"/>
        <rFont val="Arial"/>
        <family val="2"/>
      </rPr>
      <t xml:space="preserve">N2O,D,j </t>
    </r>
    <r>
      <rPr>
        <b/>
        <sz val="10"/>
        <rFont val="Arial"/>
        <family val="2"/>
      </rPr>
      <t>*NEX*N* MS%</t>
    </r>
    <r>
      <rPr>
        <i/>
        <sz val="8"/>
        <rFont val="Arial"/>
        <family val="2"/>
      </rPr>
      <t>BL,j</t>
    </r>
  </si>
  <si>
    <r>
      <t>CF</t>
    </r>
    <r>
      <rPr>
        <i/>
        <sz val="8"/>
        <rFont val="Arial"/>
        <family val="2"/>
      </rPr>
      <t>N2O-N,N</t>
    </r>
    <r>
      <rPr>
        <b/>
        <sz val="10"/>
        <rFont val="Arial"/>
        <family val="2"/>
      </rPr>
      <t xml:space="preserve"> /1000*EF</t>
    </r>
    <r>
      <rPr>
        <i/>
        <sz val="8"/>
        <rFont val="Arial"/>
        <family val="2"/>
      </rPr>
      <t xml:space="preserve">N2O,ID,j </t>
    </r>
    <r>
      <rPr>
        <b/>
        <sz val="10"/>
        <rFont val="Arial"/>
        <family val="2"/>
      </rPr>
      <t>* F</t>
    </r>
    <r>
      <rPr>
        <i/>
        <sz val="8"/>
        <rFont val="Arial"/>
        <family val="2"/>
      </rPr>
      <t xml:space="preserve">gasm </t>
    </r>
    <r>
      <rPr>
        <sz val="10"/>
        <rFont val="Arial"/>
        <family val="2"/>
      </rPr>
      <t xml:space="preserve">* </t>
    </r>
    <r>
      <rPr>
        <b/>
        <sz val="10"/>
        <rFont val="Arial"/>
        <family val="2"/>
      </rPr>
      <t>NEX*N* MS%</t>
    </r>
    <r>
      <rPr>
        <i/>
        <sz val="8"/>
        <rFont val="Arial"/>
        <family val="2"/>
      </rPr>
      <t>BL,j</t>
    </r>
  </si>
  <si>
    <r>
      <t>BE</t>
    </r>
    <r>
      <rPr>
        <i/>
        <sz val="8"/>
        <rFont val="Arial"/>
        <family val="2"/>
      </rPr>
      <t>N2O,ID,Y</t>
    </r>
    <r>
      <rPr>
        <b/>
        <sz val="10"/>
        <rFont val="Arial"/>
        <family val="2"/>
      </rPr>
      <t xml:space="preserve"> =GWP</t>
    </r>
    <r>
      <rPr>
        <i/>
        <sz val="8"/>
        <rFont val="Arial"/>
        <family val="2"/>
      </rPr>
      <t>N2O</t>
    </r>
    <r>
      <rPr>
        <b/>
        <sz val="10"/>
        <rFont val="Arial"/>
        <family val="2"/>
      </rPr>
      <t>*</t>
    </r>
  </si>
  <si>
    <r>
      <t>EF</t>
    </r>
    <r>
      <rPr>
        <i/>
        <vertAlign val="subscript"/>
        <sz val="10"/>
        <rFont val="Arial"/>
        <family val="2"/>
      </rPr>
      <t>N2O,ID,j</t>
    </r>
  </si>
  <si>
    <t>2006 IPCC Guidelines, volume 4, chapter 11</t>
  </si>
  <si>
    <t>Fgasm</t>
  </si>
  <si>
    <t>NEX</t>
  </si>
  <si>
    <r>
      <t>NEX</t>
    </r>
    <r>
      <rPr>
        <i/>
        <sz val="8"/>
        <rFont val="Arial"/>
        <family val="2"/>
      </rPr>
      <t>rate</t>
    </r>
  </si>
  <si>
    <t>TAM</t>
  </si>
  <si>
    <t xml:space="preserve">2006 IPCC Guidelines, Table 10A-9, </t>
  </si>
  <si>
    <t xml:space="preserve">Volume 4, Chapter 10. </t>
  </si>
  <si>
    <t>2006 IPCC Guidelines, Equation 10.30</t>
  </si>
  <si>
    <t>table 10.19 volume 4, Chapter 10</t>
  </si>
  <si>
    <t>A) CH4 emissions</t>
  </si>
  <si>
    <t>B) N2O Emissions</t>
  </si>
  <si>
    <t xml:space="preserve">C) CO2 emission from electricity and heat </t>
  </si>
  <si>
    <r>
      <t>BE</t>
    </r>
    <r>
      <rPr>
        <b/>
        <vertAlign val="subscript"/>
        <sz val="10"/>
        <color indexed="8"/>
        <rFont val="Arial"/>
        <family val="2"/>
      </rPr>
      <t>elec/heat,y</t>
    </r>
    <r>
      <rPr>
        <b/>
        <sz val="10"/>
        <color indexed="8"/>
        <rFont val="Arial"/>
        <family val="2"/>
      </rPr>
      <t xml:space="preserve"> = EG</t>
    </r>
    <r>
      <rPr>
        <b/>
        <vertAlign val="subscript"/>
        <sz val="10"/>
        <color indexed="8"/>
        <rFont val="Arial"/>
        <family val="2"/>
      </rPr>
      <t>Bl,y</t>
    </r>
    <r>
      <rPr>
        <b/>
        <sz val="10"/>
        <color indexed="8"/>
        <rFont val="Arial"/>
        <family val="2"/>
      </rPr>
      <t xml:space="preserve"> * CEF</t>
    </r>
    <r>
      <rPr>
        <b/>
        <vertAlign val="subscript"/>
        <sz val="10"/>
        <color indexed="8"/>
        <rFont val="Arial"/>
        <family val="2"/>
      </rPr>
      <t xml:space="preserve">Bl,elec,,y </t>
    </r>
    <r>
      <rPr>
        <b/>
        <sz val="10"/>
        <color indexed="8"/>
        <rFont val="Arial"/>
        <family val="2"/>
      </rPr>
      <t>+ EG</t>
    </r>
    <r>
      <rPr>
        <b/>
        <vertAlign val="subscript"/>
        <sz val="10"/>
        <color indexed="8"/>
        <rFont val="Arial"/>
        <family val="2"/>
      </rPr>
      <t>d,y</t>
    </r>
    <r>
      <rPr>
        <b/>
        <sz val="10"/>
        <color indexed="8"/>
        <rFont val="Arial"/>
        <family val="2"/>
      </rPr>
      <t xml:space="preserve"> * CEF</t>
    </r>
    <r>
      <rPr>
        <b/>
        <vertAlign val="subscript"/>
        <sz val="10"/>
        <color indexed="8"/>
        <rFont val="Arial"/>
        <family val="2"/>
      </rPr>
      <t xml:space="preserve">grid </t>
    </r>
    <r>
      <rPr>
        <b/>
        <sz val="10"/>
        <color indexed="8"/>
        <rFont val="Arial"/>
        <family val="2"/>
      </rPr>
      <t>+ HG</t>
    </r>
    <r>
      <rPr>
        <b/>
        <vertAlign val="subscript"/>
        <sz val="10"/>
        <color indexed="8"/>
        <rFont val="Arial"/>
        <family val="2"/>
      </rPr>
      <t>BL,y</t>
    </r>
    <r>
      <rPr>
        <b/>
        <sz val="10"/>
        <color indexed="8"/>
        <rFont val="Arial"/>
        <family val="2"/>
      </rPr>
      <t xml:space="preserve"> * CEF</t>
    </r>
    <r>
      <rPr>
        <b/>
        <vertAlign val="subscript"/>
        <sz val="10"/>
        <color indexed="8"/>
        <rFont val="Arial"/>
        <family val="2"/>
      </rPr>
      <t>Bl, therm,y</t>
    </r>
  </si>
  <si>
    <r>
      <t>EG</t>
    </r>
    <r>
      <rPr>
        <sz val="8"/>
        <rFont val="Arial"/>
        <family val="2"/>
      </rPr>
      <t>Bl,y</t>
    </r>
  </si>
  <si>
    <t>tCO2/mwh</t>
  </si>
  <si>
    <t>RVS,n</t>
  </si>
  <si>
    <t>MCF for LIQUID/SLURRY</t>
  </si>
  <si>
    <t>EF4</t>
  </si>
  <si>
    <t>Total NEX(t)</t>
  </si>
  <si>
    <t>EF1</t>
  </si>
  <si>
    <t>EF5</t>
  </si>
  <si>
    <t>Fleach</t>
  </si>
  <si>
    <t>tCO2/Mwh</t>
  </si>
  <si>
    <r>
      <t>CEF</t>
    </r>
    <r>
      <rPr>
        <sz val="8"/>
        <rFont val="Arial"/>
        <family val="2"/>
      </rPr>
      <t>Bl,elec,,y</t>
    </r>
    <r>
      <rPr>
        <sz val="10"/>
        <rFont val="Arial"/>
        <family val="2"/>
      </rPr>
      <t xml:space="preserve"> </t>
    </r>
  </si>
  <si>
    <t>EGd,y</t>
  </si>
  <si>
    <t>CEFgrid</t>
  </si>
  <si>
    <t>ERd,y</t>
  </si>
  <si>
    <t>BEco2 (tCO2e)</t>
  </si>
  <si>
    <t>tCO2e</t>
  </si>
  <si>
    <t>BASELINE EMISSIONS</t>
  </si>
  <si>
    <r>
      <t>E</t>
    </r>
    <r>
      <rPr>
        <b/>
        <sz val="8"/>
        <rFont val="Arial"/>
        <family val="2"/>
      </rPr>
      <t>elec,y</t>
    </r>
  </si>
  <si>
    <t>PROJECT EMISSION ( ANAEROBIC DIGESTER &amp; AEROBIC TREATMENT OF BIOGAS LIQUID IN LAGOON)</t>
  </si>
  <si>
    <t>Broilers</t>
  </si>
  <si>
    <t>Layers</t>
  </si>
  <si>
    <r>
      <t>N</t>
    </r>
    <r>
      <rPr>
        <i/>
        <vertAlign val="subscript"/>
        <sz val="10"/>
        <rFont val="Arial"/>
        <family val="2"/>
      </rPr>
      <t>population(head, animal population)</t>
    </r>
  </si>
  <si>
    <t>CH4 content in Biogas</t>
  </si>
  <si>
    <r>
      <t>F</t>
    </r>
    <r>
      <rPr>
        <vertAlign val="subscript"/>
        <sz val="10"/>
        <rFont val="Arial"/>
        <family val="2"/>
      </rPr>
      <t>AD</t>
    </r>
  </si>
  <si>
    <r>
      <t>VS</t>
    </r>
    <r>
      <rPr>
        <i/>
        <sz val="8"/>
        <rFont val="Arial"/>
        <family val="2"/>
      </rPr>
      <t>LT,M</t>
    </r>
  </si>
  <si>
    <t>kg/animal/day</t>
  </si>
  <si>
    <t>numbers</t>
  </si>
  <si>
    <r>
      <t>B</t>
    </r>
    <r>
      <rPr>
        <i/>
        <sz val="8"/>
        <rFont val="Arial"/>
        <family val="2"/>
      </rPr>
      <t>0,LT</t>
    </r>
  </si>
  <si>
    <t>m3 CH4/kg-VS</t>
  </si>
  <si>
    <r>
      <t>LF</t>
    </r>
    <r>
      <rPr>
        <vertAlign val="subscript"/>
        <sz val="10"/>
        <rFont val="Arial"/>
        <family val="2"/>
      </rPr>
      <t>AD</t>
    </r>
  </si>
  <si>
    <t xml:space="preserve">                                      Value </t>
  </si>
  <si>
    <t xml:space="preserve">A) Phase I: Anaerobic digester </t>
  </si>
  <si>
    <r>
      <t>a) Methane leakage: PE</t>
    </r>
    <r>
      <rPr>
        <i/>
        <sz val="8"/>
        <rFont val="Arial"/>
        <family val="2"/>
      </rPr>
      <t>AD,y</t>
    </r>
  </si>
  <si>
    <t xml:space="preserve">Total CH4 emissions </t>
  </si>
  <si>
    <t>from Phase I (tCO2e)</t>
  </si>
  <si>
    <r>
      <t xml:space="preserve">b) N2O emissions: PE </t>
    </r>
    <r>
      <rPr>
        <i/>
        <sz val="8"/>
        <rFont val="Arial"/>
        <family val="2"/>
      </rPr>
      <t>N2O,y</t>
    </r>
  </si>
  <si>
    <r>
      <t>PE</t>
    </r>
    <r>
      <rPr>
        <b/>
        <vertAlign val="subscript"/>
        <sz val="10"/>
        <rFont val="Arial"/>
        <family val="2"/>
      </rPr>
      <t>N2O,Y</t>
    </r>
    <r>
      <rPr>
        <b/>
        <sz val="10"/>
        <rFont val="Arial"/>
        <family val="2"/>
      </rPr>
      <t>=310*(44/28)/1000*EF</t>
    </r>
    <r>
      <rPr>
        <b/>
        <vertAlign val="subscript"/>
        <sz val="10"/>
        <rFont val="Arial"/>
        <family val="2"/>
      </rPr>
      <t>N2O</t>
    </r>
    <r>
      <rPr>
        <b/>
        <sz val="10"/>
        <rFont val="Arial"/>
        <family val="2"/>
      </rPr>
      <t>*NEX*N</t>
    </r>
  </si>
  <si>
    <r>
      <t>PE</t>
    </r>
    <r>
      <rPr>
        <b/>
        <vertAlign val="subscript"/>
        <sz val="10"/>
        <rFont val="Arial"/>
        <family val="2"/>
      </rPr>
      <t>CH4,Y</t>
    </r>
    <r>
      <rPr>
        <b/>
        <sz val="10"/>
        <rFont val="Arial"/>
        <family val="2"/>
      </rPr>
      <t>=21*0.00067*LF</t>
    </r>
    <r>
      <rPr>
        <b/>
        <vertAlign val="subscript"/>
        <sz val="10"/>
        <rFont val="Arial"/>
        <family val="2"/>
      </rPr>
      <t>AD</t>
    </r>
    <r>
      <rPr>
        <b/>
        <sz val="10"/>
        <rFont val="Arial"/>
        <family val="2"/>
      </rPr>
      <t>*F</t>
    </r>
    <r>
      <rPr>
        <b/>
        <vertAlign val="subscript"/>
        <sz val="10"/>
        <rFont val="Arial"/>
        <family val="2"/>
      </rPr>
      <t>AD</t>
    </r>
    <r>
      <rPr>
        <b/>
        <sz val="10"/>
        <rFont val="Arial"/>
        <family val="2"/>
      </rPr>
      <t>*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(B</t>
    </r>
    <r>
      <rPr>
        <b/>
        <vertAlign val="subscript"/>
        <sz val="10"/>
        <rFont val="Arial"/>
        <family val="2"/>
      </rPr>
      <t>0,LT</t>
    </r>
    <r>
      <rPr>
        <b/>
        <sz val="10"/>
        <rFont val="Arial"/>
        <family val="2"/>
      </rPr>
      <t>*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N</t>
    </r>
    <r>
      <rPr>
        <b/>
        <vertAlign val="subscript"/>
        <sz val="10"/>
        <rFont val="Arial"/>
        <family val="2"/>
      </rPr>
      <t>LT,M</t>
    </r>
    <r>
      <rPr>
        <b/>
        <sz val="10"/>
        <rFont val="Arial"/>
        <family val="2"/>
      </rPr>
      <t>*VS</t>
    </r>
    <r>
      <rPr>
        <b/>
        <vertAlign val="subscript"/>
        <sz val="10"/>
        <rFont val="Arial"/>
        <family val="2"/>
      </rPr>
      <t>LT,M</t>
    </r>
    <r>
      <rPr>
        <b/>
        <sz val="10"/>
        <rFont val="Arial"/>
        <family val="2"/>
      </rPr>
      <t>)</t>
    </r>
  </si>
  <si>
    <t>N2O(t CO2-e)</t>
  </si>
  <si>
    <r>
      <t>EF</t>
    </r>
    <r>
      <rPr>
        <vertAlign val="subscript"/>
        <sz val="10"/>
        <rFont val="Arial"/>
        <family val="2"/>
      </rPr>
      <t>N2O</t>
    </r>
  </si>
  <si>
    <r>
      <t>NEX</t>
    </r>
    <r>
      <rPr>
        <i/>
        <sz val="8"/>
        <rFont val="Arial"/>
        <family val="2"/>
      </rPr>
      <t>rate,</t>
    </r>
    <r>
      <rPr>
        <i/>
        <vertAlign val="subscript"/>
        <sz val="10"/>
        <rFont val="Arial"/>
        <family val="2"/>
      </rPr>
      <t>default</t>
    </r>
  </si>
  <si>
    <r>
      <t>NEX</t>
    </r>
    <r>
      <rPr>
        <i/>
        <sz val="8"/>
        <rFont val="Arial"/>
        <family val="2"/>
      </rPr>
      <t>rate,default</t>
    </r>
  </si>
  <si>
    <t>B) PHASE II: Aerobic treatment</t>
  </si>
  <si>
    <t>Faer (aerobic storage lagoon(30％的VS)</t>
  </si>
  <si>
    <r>
      <t>a) CH4 emissions: PE</t>
    </r>
    <r>
      <rPr>
        <i/>
        <sz val="8"/>
        <rFont val="Arial"/>
        <family val="2"/>
      </rPr>
      <t>Aer,y</t>
    </r>
  </si>
  <si>
    <t>ton</t>
  </si>
  <si>
    <t>the annual amount of VS Aerobic lagoon treated</t>
  </si>
  <si>
    <t>CH4 emission (tCO2e)</t>
  </si>
  <si>
    <t>b) Direct N2O emission:</t>
  </si>
  <si>
    <t>EF for aerobic storage lagoon</t>
  </si>
  <si>
    <t>the amount of Nitrogen directed to aerobic lagoon</t>
  </si>
  <si>
    <t>NO2 emissions（tCO2e)</t>
  </si>
  <si>
    <t>kg N2O-N/kg N</t>
  </si>
  <si>
    <r>
      <t>kg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O-N/kg N</t>
    </r>
  </si>
  <si>
    <t>c) Indirect N2O emission</t>
  </si>
  <si>
    <t>d) other emissions</t>
  </si>
  <si>
    <r>
      <t>PE</t>
    </r>
    <r>
      <rPr>
        <b/>
        <vertAlign val="subscript"/>
        <sz val="10"/>
        <rFont val="Arial"/>
        <family val="2"/>
      </rPr>
      <t>PLy</t>
    </r>
  </si>
  <si>
    <r>
      <t>PE</t>
    </r>
    <r>
      <rPr>
        <b/>
        <vertAlign val="subscript"/>
        <sz val="10"/>
        <rFont val="Arial"/>
        <family val="2"/>
      </rPr>
      <t>elec/heat,y</t>
    </r>
  </si>
  <si>
    <r>
      <t>PE</t>
    </r>
    <r>
      <rPr>
        <b/>
        <vertAlign val="subscript"/>
        <sz val="10"/>
        <rFont val="Arial"/>
        <family val="2"/>
      </rPr>
      <t>CH4,IC,y</t>
    </r>
  </si>
  <si>
    <r>
      <t>C) PROJECT EMISSIONS FROM HEAT AND ELECTRICITY USE: PE</t>
    </r>
    <r>
      <rPr>
        <i/>
        <sz val="8"/>
        <rFont val="Arial"/>
        <family val="2"/>
      </rPr>
      <t>elec/heat</t>
    </r>
  </si>
  <si>
    <t xml:space="preserve">Value </t>
  </si>
  <si>
    <r>
      <t>EL</t>
    </r>
    <r>
      <rPr>
        <sz val="8"/>
        <rFont val="Arial"/>
        <family val="2"/>
      </rPr>
      <t>PR,Y</t>
    </r>
  </si>
  <si>
    <t>mKwh</t>
  </si>
  <si>
    <t>CEFd</t>
  </si>
  <si>
    <t>tCO2e/Mwh</t>
  </si>
  <si>
    <t>Emissions</t>
  </si>
  <si>
    <t>TOTAL PROJECT EMISSIONS (tCO2e)</t>
  </si>
  <si>
    <t>LEAKEAGE</t>
  </si>
  <si>
    <t>MCFd</t>
  </si>
  <si>
    <t>A) BASELINE LEAKAGE</t>
  </si>
  <si>
    <t>Rvs,n</t>
  </si>
  <si>
    <t>from Land Application(tCO2e)</t>
  </si>
  <si>
    <t>kg/1000kg/day</t>
  </si>
  <si>
    <t>at the project site</t>
  </si>
  <si>
    <t>NEXrate</t>
  </si>
  <si>
    <t>kg/yr</t>
  </si>
  <si>
    <t>kgN/yr</t>
  </si>
  <si>
    <r>
      <t>R</t>
    </r>
    <r>
      <rPr>
        <i/>
        <sz val="8"/>
        <rFont val="Arial"/>
        <family val="2"/>
      </rPr>
      <t>N,n</t>
    </r>
  </si>
  <si>
    <r>
      <t>LE</t>
    </r>
    <r>
      <rPr>
        <i/>
        <sz val="8"/>
        <rFont val="Arial"/>
        <family val="2"/>
      </rPr>
      <t>N2O,ranoff</t>
    </r>
  </si>
  <si>
    <r>
      <t>LE</t>
    </r>
    <r>
      <rPr>
        <i/>
        <sz val="8"/>
        <rFont val="Arial"/>
        <family val="2"/>
      </rPr>
      <t>N2O,vol</t>
    </r>
  </si>
  <si>
    <r>
      <t>LE</t>
    </r>
    <r>
      <rPr>
        <i/>
        <sz val="8"/>
        <rFont val="Arial"/>
        <family val="2"/>
      </rPr>
      <t>B,N2O</t>
    </r>
  </si>
  <si>
    <r>
      <t>LE</t>
    </r>
    <r>
      <rPr>
        <b/>
        <i/>
        <sz val="8"/>
        <rFont val="Arial"/>
        <family val="2"/>
      </rPr>
      <t>N2O,land</t>
    </r>
  </si>
  <si>
    <t>B) PROJECT LEAKAGE</t>
  </si>
  <si>
    <r>
      <t>a. LE</t>
    </r>
    <r>
      <rPr>
        <i/>
        <sz val="8"/>
        <rFont val="Arial"/>
        <family val="2"/>
      </rPr>
      <t xml:space="preserve">B,CH4 </t>
    </r>
    <r>
      <rPr>
        <b/>
        <sz val="10"/>
        <rFont val="Arial"/>
        <family val="2"/>
      </rPr>
      <t>CH4- land application</t>
    </r>
  </si>
  <si>
    <r>
      <t xml:space="preserve">a. LE </t>
    </r>
    <r>
      <rPr>
        <i/>
        <sz val="8"/>
        <rFont val="Arial"/>
        <family val="2"/>
      </rPr>
      <t xml:space="preserve">pro - </t>
    </r>
    <r>
      <rPr>
        <b/>
        <sz val="10"/>
        <rFont val="Arial"/>
        <family val="2"/>
      </rPr>
      <t>Aerobic treated liquid-land application</t>
    </r>
  </si>
  <si>
    <t>Fgasm'</t>
  </si>
  <si>
    <t>Volatile of treated liquid after land application</t>
  </si>
  <si>
    <t>% already volatized in aerobic lagoon.(counted in project indirect emission)</t>
  </si>
  <si>
    <t>N voltiled from treated liquid after land application)</t>
  </si>
  <si>
    <r>
      <t xml:space="preserve">LE </t>
    </r>
    <r>
      <rPr>
        <b/>
        <i/>
        <sz val="8"/>
        <rFont val="Arial"/>
        <family val="2"/>
      </rPr>
      <t>N2O vol</t>
    </r>
  </si>
  <si>
    <r>
      <t xml:space="preserve">LE </t>
    </r>
    <r>
      <rPr>
        <b/>
        <i/>
        <sz val="8"/>
        <rFont val="Arial"/>
        <family val="2"/>
      </rPr>
      <t>N2O land</t>
    </r>
  </si>
  <si>
    <r>
      <t xml:space="preserve">Total NEX(t) in aerobic lagoon for </t>
    </r>
    <r>
      <rPr>
        <b/>
        <sz val="10"/>
        <rFont val="Arial"/>
        <family val="2"/>
      </rPr>
      <t>land application</t>
    </r>
  </si>
  <si>
    <t>% of NEX in Aerobic Lagoon</t>
  </si>
  <si>
    <r>
      <t xml:space="preserve">LE </t>
    </r>
    <r>
      <rPr>
        <b/>
        <i/>
        <sz val="8"/>
        <rFont val="Arial"/>
        <family val="2"/>
      </rPr>
      <t>pro, N2O</t>
    </r>
  </si>
  <si>
    <r>
      <t xml:space="preserve">b. LE </t>
    </r>
    <r>
      <rPr>
        <i/>
        <sz val="10"/>
        <rFont val="Arial"/>
        <family val="2"/>
      </rPr>
      <t>pro</t>
    </r>
    <r>
      <rPr>
        <b/>
        <sz val="10"/>
        <rFont val="Arial"/>
        <family val="2"/>
      </rPr>
      <t xml:space="preserve"> - Slurry storage</t>
    </r>
  </si>
  <si>
    <r>
      <t xml:space="preserve">LE </t>
    </r>
    <r>
      <rPr>
        <i/>
        <sz val="8"/>
        <rFont val="Arial"/>
        <family val="2"/>
      </rPr>
      <t>pro, N2O</t>
    </r>
  </si>
  <si>
    <t>% of NEX in Slurry</t>
  </si>
  <si>
    <t xml:space="preserve">Total NEX(t) in slurry </t>
  </si>
  <si>
    <r>
      <t>NEX</t>
    </r>
    <r>
      <rPr>
        <i/>
        <sz val="10"/>
        <rFont val="Arial"/>
        <family val="2"/>
      </rPr>
      <t>rate,default</t>
    </r>
  </si>
  <si>
    <t>Fgasm (Volatile of slurry)</t>
  </si>
  <si>
    <r>
      <t>EF</t>
    </r>
    <r>
      <rPr>
        <i/>
        <sz val="10"/>
        <rFont val="Arial"/>
        <family val="2"/>
      </rPr>
      <t>slurry</t>
    </r>
  </si>
  <si>
    <r>
      <t xml:space="preserve">LE </t>
    </r>
    <r>
      <rPr>
        <b/>
        <i/>
        <sz val="8"/>
        <rFont val="Arial"/>
        <family val="2"/>
      </rPr>
      <t>pro,d, N2O</t>
    </r>
  </si>
  <si>
    <r>
      <t xml:space="preserve">LE </t>
    </r>
    <r>
      <rPr>
        <i/>
        <sz val="8"/>
        <rFont val="Arial"/>
        <family val="2"/>
      </rPr>
      <t>pro, d,N2O</t>
    </r>
  </si>
  <si>
    <r>
      <t xml:space="preserve">LE </t>
    </r>
    <r>
      <rPr>
        <i/>
        <sz val="8"/>
        <rFont val="Arial"/>
        <family val="2"/>
      </rPr>
      <t>pro, id,N2O</t>
    </r>
  </si>
  <si>
    <t>Fgasm(slurry)</t>
  </si>
  <si>
    <r>
      <t xml:space="preserve">LE </t>
    </r>
    <r>
      <rPr>
        <b/>
        <i/>
        <sz val="8"/>
        <rFont val="Arial"/>
        <family val="2"/>
      </rPr>
      <t>pro, id,N2O</t>
    </r>
  </si>
  <si>
    <r>
      <t xml:space="preserve">c. LE </t>
    </r>
    <r>
      <rPr>
        <i/>
        <sz val="10"/>
        <rFont val="Arial"/>
        <family val="2"/>
      </rPr>
      <t>pro</t>
    </r>
    <r>
      <rPr>
        <b/>
        <sz val="10"/>
        <rFont val="Arial"/>
        <family val="2"/>
      </rPr>
      <t xml:space="preserve"> - Slurry-land application</t>
    </r>
  </si>
  <si>
    <t>Total NEX(t)for land application</t>
  </si>
  <si>
    <r>
      <t>LE</t>
    </r>
    <r>
      <rPr>
        <b/>
        <i/>
        <sz val="8"/>
        <rFont val="Arial"/>
        <family val="2"/>
      </rPr>
      <t>P,N2O</t>
    </r>
  </si>
  <si>
    <r>
      <t>B0</t>
    </r>
    <r>
      <rPr>
        <vertAlign val="subscript"/>
        <sz val="10"/>
        <rFont val="Arial"/>
        <family val="2"/>
      </rPr>
      <t>default,developed</t>
    </r>
  </si>
  <si>
    <t>VS</t>
  </si>
  <si>
    <r>
      <t>F</t>
    </r>
    <r>
      <rPr>
        <vertAlign val="subscript"/>
        <sz val="10"/>
        <rFont val="Arial"/>
        <family val="2"/>
      </rPr>
      <t>Aer</t>
    </r>
    <r>
      <rPr>
        <sz val="10"/>
        <rFont val="Arial"/>
        <family val="2"/>
      </rPr>
      <t xml:space="preserve"> (VS=&gt;Slurry)</t>
    </r>
  </si>
  <si>
    <t>the amount of VS in slurry (t)</t>
  </si>
  <si>
    <r>
      <t xml:space="preserve">e. LE </t>
    </r>
    <r>
      <rPr>
        <i/>
        <sz val="10"/>
        <rFont val="Arial"/>
        <family val="2"/>
      </rPr>
      <t>pro,</t>
    </r>
    <r>
      <rPr>
        <i/>
        <sz val="8"/>
        <rFont val="Arial"/>
        <family val="2"/>
      </rPr>
      <t>CH4</t>
    </r>
    <r>
      <rPr>
        <b/>
        <sz val="10"/>
        <rFont val="Arial"/>
        <family val="2"/>
      </rPr>
      <t xml:space="preserve"> - Aerobic lagoon-land application</t>
    </r>
  </si>
  <si>
    <t>RVS,in digester</t>
  </si>
  <si>
    <t>VS loss in aerobic lagoon</t>
  </si>
  <si>
    <t>VS in aerobic lagoon for land application</t>
  </si>
  <si>
    <r>
      <t>B</t>
    </r>
    <r>
      <rPr>
        <vertAlign val="subscript"/>
        <sz val="10"/>
        <rFont val="Arial"/>
        <family val="2"/>
      </rPr>
      <t>0</t>
    </r>
  </si>
  <si>
    <r>
      <t xml:space="preserve">LE </t>
    </r>
    <r>
      <rPr>
        <b/>
        <i/>
        <sz val="10"/>
        <rFont val="Arial"/>
        <family val="2"/>
      </rPr>
      <t>pro,</t>
    </r>
    <r>
      <rPr>
        <b/>
        <i/>
        <sz val="8"/>
        <rFont val="Arial"/>
        <family val="2"/>
      </rPr>
      <t>CH4</t>
    </r>
    <r>
      <rPr>
        <b/>
        <sz val="10"/>
        <rFont val="Arial"/>
        <family val="2"/>
      </rPr>
      <t xml:space="preserve"> - Aerobic lagoon-land application</t>
    </r>
  </si>
  <si>
    <r>
      <t>LE</t>
    </r>
    <r>
      <rPr>
        <b/>
        <i/>
        <sz val="8"/>
        <rFont val="Arial"/>
        <family val="2"/>
      </rPr>
      <t>B,CH4</t>
    </r>
  </si>
  <si>
    <r>
      <t>LE</t>
    </r>
    <r>
      <rPr>
        <b/>
        <i/>
        <sz val="8"/>
        <rFont val="Arial"/>
        <family val="2"/>
      </rPr>
      <t>pro,CH4</t>
    </r>
  </si>
  <si>
    <r>
      <t>LE</t>
    </r>
    <r>
      <rPr>
        <b/>
        <i/>
        <sz val="8"/>
        <rFont val="Arial"/>
        <family val="2"/>
      </rPr>
      <t>B,N2O</t>
    </r>
  </si>
  <si>
    <r>
      <t>LE</t>
    </r>
    <r>
      <rPr>
        <b/>
        <i/>
        <sz val="8"/>
        <rFont val="Arial"/>
        <family val="2"/>
      </rPr>
      <t>pro,N2O</t>
    </r>
  </si>
  <si>
    <t>LEAKAGE</t>
  </si>
  <si>
    <t>EMISSION REDUCTIONS</t>
  </si>
  <si>
    <t>volatile solid for type LT entering AWMS</t>
  </si>
  <si>
    <t>Aproved Global Warming Potential of CH4</t>
  </si>
  <si>
    <t>Methane Conversion Factor for the baseline AWMSj</t>
  </si>
  <si>
    <t>Table 10A-4 -- 10a-9</t>
  </si>
  <si>
    <t>Max methane producing potential of VS generated, by animal type LT</t>
  </si>
  <si>
    <t>Fraction of manure handled in system j</t>
  </si>
  <si>
    <t>Aproved Global Warming Potential of N2O</t>
  </si>
  <si>
    <t>Default value for EF3, table 10.21</t>
  </si>
  <si>
    <t>direct N2O emission factor for the treatment system j of the manure management  system</t>
  </si>
  <si>
    <t>Conversion factor N2O-N to N2O</t>
  </si>
  <si>
    <t>Default value for EF4, table 11.3,</t>
  </si>
  <si>
    <t>indirect N2O emission factor for N2O emissions from atmospheric deposition of nitrogen on soils and water surfaces</t>
  </si>
  <si>
    <t>% of managed manure nitrogen for broilers and layers that volatizes as NH3 and NOx in the manure system</t>
  </si>
  <si>
    <t>the average weight of defined livestock</t>
  </si>
  <si>
    <t>kg/head</t>
  </si>
  <si>
    <t>average nitrogen excretion per head of broilers and layers population</t>
  </si>
  <si>
    <t>annual average nitrogen excretion per 1000 kg of chicken</t>
  </si>
  <si>
    <t>amount of electricity in the year y that would be consumed at the project site in absence of the project activity to operate AWMS</t>
  </si>
  <si>
    <t>carbon emissions factor for electricity consumed at the project site w/o project activiity</t>
  </si>
  <si>
    <t>amount of electricity generated utilizing the biogas collected during project activity and exported to the grid in year y</t>
  </si>
  <si>
    <t>carbon emissions factor for the grid in the project scenario</t>
  </si>
  <si>
    <t>China North power grid</t>
  </si>
  <si>
    <t>China north power grid</t>
  </si>
  <si>
    <t>calculated</t>
  </si>
  <si>
    <t>methane leakage from Anaerobic digesters</t>
  </si>
  <si>
    <t>fraction of volatile solid directed to anaerobic digester</t>
  </si>
  <si>
    <t xml:space="preserve">fraction of VS treated in AWMS stage n. </t>
  </si>
  <si>
    <t>Annex 1, AM0010</t>
  </si>
  <si>
    <t>CH4 production capacity from manure for broiers and layers</t>
  </si>
  <si>
    <t>fraction of VS directed to aerobic system</t>
  </si>
  <si>
    <t>MCF for aerobic storage lagoon</t>
  </si>
  <si>
    <t>2006 IPCC guideline, volume 4, chapter 10</t>
  </si>
  <si>
    <t>% of total methane generating potential of the waste processed</t>
  </si>
  <si>
    <t xml:space="preserve">calculated </t>
  </si>
  <si>
    <t>Faer- aerobic storage lagoon(30％VS）</t>
  </si>
  <si>
    <t xml:space="preserve">default EF3, table 10.21 </t>
  </si>
  <si>
    <t>IPCC 2006 guidelines, Volume 4, Chapter 10</t>
  </si>
  <si>
    <t>calcualted</t>
  </si>
  <si>
    <t>% of managed manure nitrogen for broilers and layers that volatilizes as NH3 and Nox in the manure system</t>
  </si>
  <si>
    <t>kg N2O/kg N</t>
  </si>
  <si>
    <t>Annex 1, ACM0010</t>
  </si>
  <si>
    <t>Fraction of NEX in manure waste that is reduced in the baseline AWMS.</t>
  </si>
  <si>
    <t xml:space="preserve">emission factor for direct emission of N2O from soil </t>
  </si>
  <si>
    <t xml:space="preserve">table 11.1, chapter 11, volume 4, </t>
  </si>
  <si>
    <t>IPCC 2006 guideline</t>
  </si>
  <si>
    <t>table 11.3, chapter 11, volume 4, 2006 IPCC</t>
  </si>
  <si>
    <t>emission factor for N2O emission from atmospheric deposition of N on soil aond water surfaces</t>
  </si>
  <si>
    <t xml:space="preserve">fraction of animal manure N that volatizes as NH3 and Nox </t>
  </si>
  <si>
    <t>kg NH3-N,Nox-N/kg N</t>
  </si>
  <si>
    <t>fraction of N lost due to volatile of slurry</t>
  </si>
  <si>
    <t>N2O emission factor from slurry</t>
  </si>
  <si>
    <t xml:space="preserve">2006 IPCC guidelines default </t>
  </si>
  <si>
    <t xml:space="preserve">VS 2006 IPCC guidelines default </t>
  </si>
  <si>
    <r>
      <t>LE</t>
    </r>
    <r>
      <rPr>
        <i/>
        <sz val="10"/>
        <rFont val="Arial"/>
        <family val="2"/>
      </rPr>
      <t>N2O,land</t>
    </r>
  </si>
  <si>
    <r>
      <t>LE</t>
    </r>
    <r>
      <rPr>
        <i/>
        <sz val="10"/>
        <rFont val="Arial"/>
        <family val="2"/>
      </rPr>
      <t>N2O,ranoff</t>
    </r>
  </si>
  <si>
    <r>
      <t>LE</t>
    </r>
    <r>
      <rPr>
        <i/>
        <sz val="10"/>
        <rFont val="Arial"/>
        <family val="2"/>
      </rPr>
      <t>N2O,vol</t>
    </r>
  </si>
  <si>
    <t>Gwh</t>
  </si>
  <si>
    <t xml:space="preserve">Adjustment for conservitive </t>
  </si>
  <si>
    <t>No of heads</t>
  </si>
  <si>
    <t>The evaperation ismuch higher than precipitation</t>
  </si>
  <si>
    <t>b. LEb N2O emissions- land application</t>
  </si>
  <si>
    <t>2006 IPCC guideline, volume 4, chapter 10. Page 10.77</t>
  </si>
  <si>
    <t>与</t>
  </si>
  <si>
    <t>提供参考文献</t>
  </si>
  <si>
    <t>Table 10.22 Page 10.65</t>
  </si>
  <si>
    <t xml:space="preserve"> </t>
  </si>
  <si>
    <r>
      <t xml:space="preserve">d. LE </t>
    </r>
    <r>
      <rPr>
        <i/>
        <sz val="10"/>
        <rFont val="Arial"/>
        <family val="2"/>
      </rPr>
      <t>pro,</t>
    </r>
    <r>
      <rPr>
        <i/>
        <sz val="8"/>
        <rFont val="Arial"/>
        <family val="2"/>
      </rPr>
      <t>CH4</t>
    </r>
    <r>
      <rPr>
        <b/>
        <sz val="10"/>
        <rFont val="Arial"/>
        <family val="2"/>
      </rPr>
      <t xml:space="preserve"> - Slurry-land application</t>
    </r>
  </si>
  <si>
    <r>
      <t xml:space="preserve">LE </t>
    </r>
    <r>
      <rPr>
        <b/>
        <i/>
        <sz val="10"/>
        <rFont val="Arial"/>
        <family val="2"/>
      </rPr>
      <t>pro,</t>
    </r>
    <r>
      <rPr>
        <b/>
        <i/>
        <sz val="8"/>
        <rFont val="Arial"/>
        <family val="2"/>
      </rPr>
      <t>CH4</t>
    </r>
    <r>
      <rPr>
        <b/>
        <sz val="10"/>
        <rFont val="Arial"/>
        <family val="2"/>
      </rPr>
      <t xml:space="preserve"> -</t>
    </r>
    <r>
      <rPr>
        <b/>
        <i/>
        <sz val="10"/>
        <rFont val="Arial"/>
        <family val="2"/>
      </rPr>
      <t>slurry (PEsl,y)</t>
    </r>
  </si>
  <si>
    <t>CH4 leakage</t>
  </si>
  <si>
    <t>N2O leakage</t>
  </si>
  <si>
    <t>CH4</t>
  </si>
  <si>
    <t>N2O</t>
  </si>
  <si>
    <t>CO2</t>
  </si>
  <si>
    <t>Total</t>
  </si>
  <si>
    <t>Project proponent</t>
  </si>
  <si>
    <t>ACM0010</t>
  </si>
  <si>
    <t>FS</t>
  </si>
  <si>
    <t>Mwh</t>
  </si>
  <si>
    <r>
      <t>CH</t>
    </r>
    <r>
      <rPr>
        <vertAlign val="subscript"/>
        <sz val="10.5"/>
        <color indexed="8"/>
        <rFont val="Times New Roman"/>
        <family val="1"/>
      </rPr>
      <t>4</t>
    </r>
  </si>
  <si>
    <r>
      <t>N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</t>
    </r>
  </si>
  <si>
    <r>
      <t>CO</t>
    </r>
    <r>
      <rPr>
        <vertAlign val="subscript"/>
        <sz val="10.5"/>
        <color indexed="8"/>
        <rFont val="Times New Roman"/>
        <family val="1"/>
      </rPr>
      <t>2</t>
    </r>
  </si>
  <si>
    <t>Baseline</t>
  </si>
  <si>
    <t>Project Activity</t>
  </si>
  <si>
    <t>Change</t>
  </si>
</sst>
</file>

<file path=xl/styles.xml><?xml version="1.0" encoding="utf-8"?>
<styleSheet xmlns="http://schemas.openxmlformats.org/spreadsheetml/2006/main">
  <numFmts count="6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&quot;R$ &quot;* #,##0.00_);_(&quot;R$ &quot;* \(#,##0.00\);_(&quot;R$ &quot;* &quot;-&quot;??_);_(@_)"/>
    <numFmt numFmtId="185" formatCode="_(&quot;R$ &quot;* #,##0_);_(&quot;R$ &quot;* \(#,##0\);_(&quot;R$ &quot;* &quot;-&quot;_);_(@_)"/>
    <numFmt numFmtId="186" formatCode="0.000"/>
    <numFmt numFmtId="187" formatCode="_(* #,##0.000_);_(* \(#,##0.000\);_(* &quot;-&quot;??_);_(@_)"/>
    <numFmt numFmtId="188" formatCode="_(* #,##0.0_);_(* \(#,##0.0\);_(* &quot;-&quot;??_);_(@_)"/>
    <numFmt numFmtId="189" formatCode="_(* #,##0_);_(* \(#,##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"/>
    <numFmt numFmtId="194" formatCode="#,##0.0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0_ "/>
    <numFmt numFmtId="203" formatCode="0.00_ "/>
    <numFmt numFmtId="204" formatCode="_(* #,##0.00000_);_(* \(#,##0.00000\);_(* &quot;-&quot;?????_);_(@_)"/>
    <numFmt numFmtId="205" formatCode="0.0_ "/>
    <numFmt numFmtId="206" formatCode="0.000%"/>
    <numFmt numFmtId="207" formatCode="0.0%"/>
    <numFmt numFmtId="208" formatCode="0.000_ "/>
    <numFmt numFmtId="209" formatCode="_(* #,##0.0000_);_(* \(#,##0.0000\);_(* &quot;-&quot;????_);_(@_)"/>
    <numFmt numFmtId="210" formatCode="0.0000000000"/>
    <numFmt numFmtId="211" formatCode="[$€-2]\ #,##0.00_);[Red]\([$€-2]\ #,##0.00\)"/>
    <numFmt numFmtId="212" formatCode="0.00000_ "/>
    <numFmt numFmtId="213" formatCode="0.0000_ "/>
    <numFmt numFmtId="214" formatCode="_ * #,##0.0_ ;_ * \-#,##0.0_ ;_ * &quot;-&quot;??_ ;_ @_ "/>
    <numFmt numFmtId="215" formatCode="_ * #,##0_ ;_ * \-#,##0_ ;_ * &quot;-&quot;??_ ;_ @_ "/>
    <numFmt numFmtId="216" formatCode="0.000000_ "/>
    <numFmt numFmtId="217" formatCode="0.0000000_ "/>
    <numFmt numFmtId="218" formatCode="_ * #,##0.000_ ;_ * \-#,##0.000_ ;_ * &quot;-&quot;??_ ;_ @_ "/>
    <numFmt numFmtId="219" formatCode="_ * #,##0.0000_ ;_ * \-#,##0.0000_ ;_ * &quot;-&quot;??_ ;_ @_ "/>
    <numFmt numFmtId="220" formatCode="0.00000000_ "/>
    <numFmt numFmtId="221" formatCode="0;_鰀"/>
    <numFmt numFmtId="222" formatCode="0;_�"/>
    <numFmt numFmtId="223" formatCode="0.0;_�"/>
    <numFmt numFmtId="224" formatCode="0.00;_�"/>
    <numFmt numFmtId="225" formatCode="_ * #,##0.00000_ ;_ * \-#,##0.00000_ ;_ * &quot;-&quot;?????_ ;_ @_ "/>
  </numFmts>
  <fonts count="2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b/>
      <sz val="10"/>
      <name val="Symbol"/>
      <family val="1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.5"/>
      <color indexed="8"/>
      <name val="Times New Roman"/>
      <family val="1"/>
    </font>
    <font>
      <vertAlign val="subscript"/>
      <sz val="10.5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7" fillId="0" borderId="0">
      <alignment vertical="center"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89" fontId="0" fillId="0" borderId="0" xfId="23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8" fillId="0" borderId="4" xfId="0" applyFont="1" applyBorder="1" applyAlignment="1">
      <alignment/>
    </xf>
    <xf numFmtId="188" fontId="0" fillId="0" borderId="0" xfId="23" applyNumberFormat="1" applyBorder="1" applyAlignment="1">
      <alignment horizontal="center"/>
    </xf>
    <xf numFmtId="189" fontId="0" fillId="0" borderId="0" xfId="23" applyNumberForma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5" fillId="0" borderId="0" xfId="0" applyFont="1" applyAlignment="1">
      <alignment/>
    </xf>
    <xf numFmtId="0" fontId="0" fillId="2" borderId="0" xfId="19" applyFont="1" applyFill="1" applyAlignment="1">
      <alignment horizontal="center" vertical="center"/>
      <protection/>
    </xf>
    <xf numFmtId="0" fontId="0" fillId="0" borderId="0" xfId="19" applyFont="1" applyFill="1">
      <alignment vertical="center"/>
      <protection/>
    </xf>
    <xf numFmtId="0" fontId="0" fillId="0" borderId="0" xfId="19" applyFont="1" applyFill="1" applyAlignment="1">
      <alignment horizontal="center" vertical="center"/>
      <protection/>
    </xf>
    <xf numFmtId="0" fontId="0" fillId="0" borderId="0" xfId="19" applyFont="1" applyFill="1" applyBorder="1">
      <alignment vertical="center"/>
      <protection/>
    </xf>
    <xf numFmtId="202" fontId="0" fillId="0" borderId="0" xfId="19" applyNumberFormat="1" applyFont="1" applyFill="1" applyBorder="1" applyAlignment="1">
      <alignment horizontal="center" vertical="center"/>
      <protection/>
    </xf>
    <xf numFmtId="183" fontId="0" fillId="0" borderId="0" xfId="0" applyNumberFormat="1" applyBorder="1" applyAlignment="1">
      <alignment/>
    </xf>
    <xf numFmtId="0" fontId="1" fillId="3" borderId="10" xfId="19" applyFont="1" applyFill="1" applyBorder="1">
      <alignment vertical="center"/>
      <protection/>
    </xf>
    <xf numFmtId="202" fontId="1" fillId="3" borderId="10" xfId="19" applyNumberFormat="1" applyFont="1" applyFill="1" applyBorder="1" applyAlignment="1">
      <alignment horizontal="center" vertical="center"/>
      <protection/>
    </xf>
    <xf numFmtId="0" fontId="1" fillId="3" borderId="10" xfId="0" applyFont="1" applyFill="1" applyBorder="1" applyAlignment="1">
      <alignment horizontal="center"/>
    </xf>
    <xf numFmtId="0" fontId="1" fillId="3" borderId="10" xfId="19" applyFont="1" applyFill="1" applyBorder="1" applyAlignment="1">
      <alignment horizontal="center" vertical="center"/>
      <protection/>
    </xf>
    <xf numFmtId="0" fontId="1" fillId="4" borderId="1" xfId="19" applyFont="1" applyFill="1" applyBorder="1">
      <alignment vertical="center"/>
      <protection/>
    </xf>
    <xf numFmtId="202" fontId="1" fillId="4" borderId="2" xfId="19" applyNumberFormat="1" applyFont="1" applyFill="1" applyBorder="1" applyAlignment="1">
      <alignment horizontal="center" vertical="center"/>
      <protection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9" xfId="0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6" xfId="0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8" fillId="3" borderId="13" xfId="0" applyFont="1" applyFill="1" applyBorder="1" applyAlignment="1">
      <alignment/>
    </xf>
    <xf numFmtId="196" fontId="0" fillId="3" borderId="14" xfId="0" applyNumberFormat="1" applyFont="1" applyFill="1" applyBorder="1" applyAlignment="1">
      <alignment horizontal="center"/>
    </xf>
    <xf numFmtId="196" fontId="0" fillId="3" borderId="14" xfId="23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center"/>
    </xf>
    <xf numFmtId="19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89" fontId="1" fillId="4" borderId="8" xfId="0" applyNumberFormat="1" applyFont="1" applyFill="1" applyBorder="1" applyAlignment="1">
      <alignment/>
    </xf>
    <xf numFmtId="189" fontId="1" fillId="4" borderId="8" xfId="23" applyNumberFormat="1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189" fontId="1" fillId="4" borderId="12" xfId="0" applyNumberFormat="1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183" fontId="0" fillId="5" borderId="0" xfId="23" applyNumberForma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15" applyFont="1" applyFill="1" applyAlignment="1">
      <alignment/>
      <protection/>
    </xf>
    <xf numFmtId="0" fontId="17" fillId="0" borderId="0" xfId="15">
      <alignment vertical="center"/>
      <protection/>
    </xf>
    <xf numFmtId="0" fontId="17" fillId="0" borderId="0" xfId="19" applyFill="1">
      <alignment vertical="center"/>
      <protection/>
    </xf>
    <xf numFmtId="0" fontId="0" fillId="0" borderId="0" xfId="15" applyFont="1" applyFill="1">
      <alignment vertical="center"/>
      <protection/>
    </xf>
    <xf numFmtId="9" fontId="0" fillId="0" borderId="0" xfId="19" applyNumberFormat="1" applyFont="1" applyFill="1" applyAlignment="1">
      <alignment horizontal="center" vertical="center"/>
      <protection/>
    </xf>
    <xf numFmtId="203" fontId="0" fillId="0" borderId="0" xfId="19" applyNumberFormat="1" applyFont="1" applyFill="1" applyAlignment="1">
      <alignment horizontal="center" vertical="center"/>
      <protection/>
    </xf>
    <xf numFmtId="0" fontId="1" fillId="4" borderId="4" xfId="15" applyFont="1" applyFill="1" applyBorder="1">
      <alignment vertical="center"/>
      <protection/>
    </xf>
    <xf numFmtId="0" fontId="17" fillId="4" borderId="0" xfId="15" applyFill="1" applyBorder="1" applyAlignment="1">
      <alignment horizontal="center" vertical="center"/>
      <protection/>
    </xf>
    <xf numFmtId="0" fontId="1" fillId="4" borderId="0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0" borderId="0" xfId="19" applyFont="1" applyFill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15" applyFont="1" applyFill="1" applyBorder="1">
      <alignment vertical="center"/>
      <protection/>
    </xf>
    <xf numFmtId="0" fontId="0" fillId="0" borderId="20" xfId="19" applyFont="1" applyFill="1" applyBorder="1">
      <alignment vertical="center"/>
      <protection/>
    </xf>
    <xf numFmtId="0" fontId="0" fillId="0" borderId="21" xfId="15" applyFont="1" applyFill="1" applyBorder="1">
      <alignment vertical="center"/>
      <protection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23" xfId="18" applyFont="1" applyFill="1" applyBorder="1" applyAlignment="1">
      <alignment horizontal="center"/>
      <protection/>
    </xf>
    <xf numFmtId="189" fontId="0" fillId="0" borderId="23" xfId="23" applyNumberFormat="1" applyFont="1" applyFill="1" applyBorder="1" applyAlignment="1">
      <alignment horizontal="center" vertical="center"/>
    </xf>
    <xf numFmtId="203" fontId="0" fillId="0" borderId="23" xfId="15" applyNumberFormat="1" applyFont="1" applyFill="1" applyBorder="1" applyAlignment="1">
      <alignment horizontal="center" vertical="center"/>
      <protection/>
    </xf>
    <xf numFmtId="9" fontId="0" fillId="0" borderId="23" xfId="19" applyNumberFormat="1" applyFont="1" applyFill="1" applyBorder="1" applyAlignment="1">
      <alignment horizontal="center" vertical="center"/>
      <protection/>
    </xf>
    <xf numFmtId="0" fontId="0" fillId="0" borderId="23" xfId="19" applyFont="1" applyFill="1" applyBorder="1" applyAlignment="1">
      <alignment horizontal="center" vertical="center"/>
      <protection/>
    </xf>
    <xf numFmtId="202" fontId="1" fillId="0" borderId="24" xfId="15" applyNumberFormat="1" applyFont="1" applyFill="1" applyBorder="1" applyAlignment="1">
      <alignment horizontal="center" vertical="center"/>
      <protection/>
    </xf>
    <xf numFmtId="189" fontId="0" fillId="0" borderId="23" xfId="23" applyNumberFormat="1" applyFont="1" applyBorder="1" applyAlignment="1">
      <alignment vertical="center"/>
    </xf>
    <xf numFmtId="0" fontId="0" fillId="0" borderId="23" xfId="15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15" applyFont="1" applyFill="1" applyAlignment="1">
      <alignment horizontal="center"/>
      <protection/>
    </xf>
    <xf numFmtId="0" fontId="1" fillId="4" borderId="1" xfId="15" applyFont="1" applyFill="1" applyBorder="1">
      <alignment vertical="center"/>
      <protection/>
    </xf>
    <xf numFmtId="0" fontId="1" fillId="4" borderId="2" xfId="19" applyFont="1" applyFill="1" applyBorder="1" applyAlignment="1">
      <alignment horizontal="center" vertical="center"/>
      <protection/>
    </xf>
    <xf numFmtId="0" fontId="1" fillId="4" borderId="2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6" borderId="0" xfId="0" applyFont="1" applyFill="1" applyAlignment="1">
      <alignment/>
    </xf>
    <xf numFmtId="10" fontId="0" fillId="0" borderId="0" xfId="19" applyNumberFormat="1" applyFont="1" applyFill="1" applyBorder="1" applyAlignment="1">
      <alignment horizontal="center" vertical="center"/>
      <protection/>
    </xf>
    <xf numFmtId="202" fontId="0" fillId="0" borderId="0" xfId="15" applyNumberFormat="1" applyFont="1" applyFill="1" applyBorder="1" applyAlignment="1">
      <alignment horizontal="center"/>
      <protection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0" fontId="0" fillId="0" borderId="23" xfId="19" applyNumberFormat="1" applyFont="1" applyFill="1" applyBorder="1" applyAlignment="1">
      <alignment horizontal="center" vertical="center"/>
      <protection/>
    </xf>
    <xf numFmtId="202" fontId="0" fillId="0" borderId="23" xfId="15" applyNumberFormat="1" applyFont="1" applyFill="1" applyBorder="1" applyAlignment="1">
      <alignment horizontal="center"/>
      <protection/>
    </xf>
    <xf numFmtId="0" fontId="1" fillId="4" borderId="24" xfId="0" applyFont="1" applyFill="1" applyBorder="1" applyAlignment="1">
      <alignment horizontal="center"/>
    </xf>
    <xf numFmtId="0" fontId="1" fillId="4" borderId="28" xfId="19" applyFont="1" applyFill="1" applyBorder="1">
      <alignment vertical="center"/>
      <protection/>
    </xf>
    <xf numFmtId="205" fontId="1" fillId="4" borderId="27" xfId="19" applyNumberFormat="1" applyFont="1" applyFill="1" applyBorder="1" applyAlignment="1">
      <alignment horizontal="center" vertical="center"/>
      <protection/>
    </xf>
    <xf numFmtId="205" fontId="1" fillId="4" borderId="8" xfId="19" applyNumberFormat="1" applyFont="1" applyFill="1" applyBorder="1" applyAlignment="1">
      <alignment horizontal="center" vertical="center"/>
      <protection/>
    </xf>
    <xf numFmtId="0" fontId="1" fillId="4" borderId="8" xfId="0" applyFont="1" applyFill="1" applyBorder="1" applyAlignment="1">
      <alignment horizontal="center"/>
    </xf>
    <xf numFmtId="0" fontId="1" fillId="4" borderId="21" xfId="19" applyFont="1" applyFill="1" applyBorder="1">
      <alignment vertical="center"/>
      <protection/>
    </xf>
    <xf numFmtId="0" fontId="1" fillId="4" borderId="12" xfId="15" applyFont="1" applyFill="1" applyBorder="1" applyAlignment="1">
      <alignment horizontal="center" vertical="center"/>
      <protection/>
    </xf>
    <xf numFmtId="0" fontId="1" fillId="4" borderId="7" xfId="19" applyFont="1" applyFill="1" applyBorder="1">
      <alignment vertical="center"/>
      <protection/>
    </xf>
    <xf numFmtId="0" fontId="1" fillId="4" borderId="11" xfId="19" applyFont="1" applyFill="1" applyBorder="1">
      <alignment vertical="center"/>
      <protection/>
    </xf>
    <xf numFmtId="0" fontId="0" fillId="0" borderId="26" xfId="19" applyFont="1" applyFill="1" applyBorder="1">
      <alignment vertical="center"/>
      <protection/>
    </xf>
    <xf numFmtId="0" fontId="0" fillId="0" borderId="29" xfId="19" applyFont="1" applyFill="1" applyBorder="1">
      <alignment vertical="center"/>
      <protection/>
    </xf>
    <xf numFmtId="203" fontId="0" fillId="0" borderId="23" xfId="19" applyNumberFormat="1" applyFont="1" applyFill="1" applyBorder="1" applyAlignment="1">
      <alignment horizontal="center" vertical="center"/>
      <protection/>
    </xf>
    <xf numFmtId="203" fontId="0" fillId="0" borderId="24" xfId="19" applyNumberFormat="1" applyFont="1" applyFill="1" applyBorder="1" applyAlignment="1">
      <alignment horizontal="center" vertical="center"/>
      <protection/>
    </xf>
    <xf numFmtId="183" fontId="0" fillId="0" borderId="23" xfId="23" applyFont="1" applyFill="1" applyBorder="1" applyAlignment="1">
      <alignment horizontal="center" vertical="center"/>
    </xf>
    <xf numFmtId="188" fontId="0" fillId="0" borderId="23" xfId="23" applyNumberFormat="1" applyFont="1" applyFill="1" applyBorder="1" applyAlignment="1">
      <alignment vertical="center"/>
    </xf>
    <xf numFmtId="188" fontId="0" fillId="0" borderId="0" xfId="23" applyNumberFormat="1" applyFont="1" applyFill="1" applyAlignment="1">
      <alignment vertical="center"/>
    </xf>
    <xf numFmtId="183" fontId="1" fillId="4" borderId="8" xfId="23" applyFont="1" applyFill="1" applyBorder="1" applyAlignment="1">
      <alignment horizontal="center" vertical="center"/>
    </xf>
    <xf numFmtId="0" fontId="0" fillId="0" borderId="9" xfId="19" applyFont="1" applyFill="1" applyBorder="1" applyAlignment="1">
      <alignment horizontal="center" vertical="center"/>
      <protection/>
    </xf>
    <xf numFmtId="0" fontId="0" fillId="0" borderId="5" xfId="19" applyFont="1" applyFill="1" applyBorder="1" applyAlignment="1">
      <alignment horizontal="center" vertical="center"/>
      <protection/>
    </xf>
    <xf numFmtId="0" fontId="0" fillId="0" borderId="6" xfId="19" applyFont="1" applyFill="1" applyBorder="1" applyAlignment="1">
      <alignment horizontal="center" vertical="center"/>
      <protection/>
    </xf>
    <xf numFmtId="0" fontId="0" fillId="0" borderId="30" xfId="15" applyFont="1" applyBorder="1" applyAlignment="1">
      <alignment horizontal="center" vertical="center"/>
      <protection/>
    </xf>
    <xf numFmtId="0" fontId="0" fillId="0" borderId="31" xfId="15" applyFont="1" applyBorder="1" applyAlignment="1">
      <alignment horizontal="center" vertical="center"/>
      <protection/>
    </xf>
    <xf numFmtId="0" fontId="0" fillId="0" borderId="32" xfId="15" applyFont="1" applyBorder="1" applyAlignment="1">
      <alignment horizontal="center" vertical="center"/>
      <protection/>
    </xf>
    <xf numFmtId="0" fontId="1" fillId="0" borderId="30" xfId="19" applyFont="1" applyFill="1" applyBorder="1">
      <alignment vertical="center"/>
      <protection/>
    </xf>
    <xf numFmtId="0" fontId="1" fillId="0" borderId="31" xfId="19" applyFont="1" applyFill="1" applyBorder="1">
      <alignment vertical="center"/>
      <protection/>
    </xf>
    <xf numFmtId="0" fontId="1" fillId="0" borderId="32" xfId="19" applyFont="1" applyFill="1" applyBorder="1">
      <alignment vertical="center"/>
      <protection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0" borderId="20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03" fontId="0" fillId="0" borderId="0" xfId="19" applyNumberFormat="1" applyFont="1" applyFill="1" applyBorder="1" applyAlignment="1">
      <alignment horizontal="center" vertical="center"/>
      <protection/>
    </xf>
    <xf numFmtId="0" fontId="1" fillId="8" borderId="19" xfId="19" applyFont="1" applyFill="1" applyBorder="1">
      <alignment vertical="center"/>
      <protection/>
    </xf>
    <xf numFmtId="203" fontId="1" fillId="8" borderId="2" xfId="19" applyNumberFormat="1" applyFont="1" applyFill="1" applyBorder="1" applyAlignment="1">
      <alignment horizontal="center" vertical="center"/>
      <protection/>
    </xf>
    <xf numFmtId="0" fontId="1" fillId="8" borderId="33" xfId="0" applyFont="1" applyFill="1" applyBorder="1" applyAlignment="1">
      <alignment horizontal="center"/>
    </xf>
    <xf numFmtId="189" fontId="0" fillId="0" borderId="23" xfId="23" applyNumberFormat="1" applyFont="1" applyFill="1" applyBorder="1" applyAlignment="1">
      <alignment horizontal="left" vertical="center"/>
    </xf>
    <xf numFmtId="189" fontId="0" fillId="0" borderId="23" xfId="23" applyNumberFormat="1" applyFont="1" applyBorder="1" applyAlignment="1">
      <alignment horizontal="center" vertical="center"/>
    </xf>
    <xf numFmtId="183" fontId="1" fillId="4" borderId="0" xfId="15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0" fillId="0" borderId="20" xfId="16" applyFont="1" applyFill="1" applyBorder="1">
      <alignment vertical="center"/>
      <protection/>
    </xf>
    <xf numFmtId="0" fontId="0" fillId="0" borderId="23" xfId="16" applyFont="1" applyFill="1" applyBorder="1" applyAlignment="1">
      <alignment horizontal="center" vertical="center"/>
      <protection/>
    </xf>
    <xf numFmtId="0" fontId="0" fillId="0" borderId="23" xfId="16" applyFont="1" applyFill="1" applyBorder="1">
      <alignment vertical="center"/>
      <protection/>
    </xf>
    <xf numFmtId="0" fontId="0" fillId="0" borderId="2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16" applyFont="1" applyFill="1" applyBorder="1">
      <alignment vertical="center"/>
      <protection/>
    </xf>
    <xf numFmtId="189" fontId="0" fillId="0" borderId="23" xfId="16" applyNumberFormat="1" applyFont="1" applyFill="1" applyBorder="1">
      <alignment vertical="center"/>
      <protection/>
    </xf>
    <xf numFmtId="183" fontId="0" fillId="0" borderId="23" xfId="16" applyNumberFormat="1" applyFont="1" applyFill="1" applyBorder="1">
      <alignment vertical="center"/>
      <protection/>
    </xf>
    <xf numFmtId="0" fontId="1" fillId="0" borderId="20" xfId="16" applyFont="1" applyFill="1" applyBorder="1">
      <alignment vertical="center"/>
      <protection/>
    </xf>
    <xf numFmtId="183" fontId="0" fillId="0" borderId="23" xfId="23" applyFont="1" applyFill="1" applyBorder="1" applyAlignment="1">
      <alignment vertical="center"/>
    </xf>
    <xf numFmtId="0" fontId="1" fillId="2" borderId="20" xfId="16" applyFont="1" applyFill="1" applyBorder="1">
      <alignment vertical="center"/>
      <protection/>
    </xf>
    <xf numFmtId="183" fontId="1" fillId="2" borderId="23" xfId="16" applyNumberFormat="1" applyFont="1" applyFill="1" applyBorder="1">
      <alignment vertical="center"/>
      <protection/>
    </xf>
    <xf numFmtId="183" fontId="1" fillId="2" borderId="23" xfId="23" applyFont="1" applyFill="1" applyBorder="1" applyAlignment="1">
      <alignment vertical="center"/>
    </xf>
    <xf numFmtId="183" fontId="0" fillId="0" borderId="23" xfId="23" applyNumberFormat="1" applyFont="1" applyFill="1" applyBorder="1" applyAlignment="1">
      <alignment vertical="center"/>
    </xf>
    <xf numFmtId="0" fontId="1" fillId="4" borderId="35" xfId="16" applyFont="1" applyFill="1" applyBorder="1">
      <alignment vertical="center"/>
      <protection/>
    </xf>
    <xf numFmtId="0" fontId="0" fillId="4" borderId="36" xfId="0" applyFont="1" applyFill="1" applyBorder="1" applyAlignment="1">
      <alignment/>
    </xf>
    <xf numFmtId="0" fontId="0" fillId="4" borderId="37" xfId="0" applyFont="1" applyFill="1" applyBorder="1" applyAlignment="1">
      <alignment/>
    </xf>
    <xf numFmtId="0" fontId="0" fillId="4" borderId="38" xfId="16" applyFont="1" applyFill="1" applyBorder="1">
      <alignment vertical="center"/>
      <protection/>
    </xf>
    <xf numFmtId="0" fontId="0" fillId="4" borderId="39" xfId="0" applyFont="1" applyFill="1" applyBorder="1" applyAlignment="1">
      <alignment/>
    </xf>
    <xf numFmtId="0" fontId="0" fillId="4" borderId="40" xfId="0" applyFont="1" applyFill="1" applyBorder="1" applyAlignment="1">
      <alignment/>
    </xf>
    <xf numFmtId="183" fontId="1" fillId="4" borderId="37" xfId="16" applyNumberFormat="1" applyFont="1" applyFill="1" applyBorder="1">
      <alignment vertical="center"/>
      <protection/>
    </xf>
    <xf numFmtId="0" fontId="1" fillId="4" borderId="40" xfId="16" applyFont="1" applyFill="1" applyBorder="1">
      <alignment vertical="center"/>
      <protection/>
    </xf>
    <xf numFmtId="0" fontId="0" fillId="0" borderId="34" xfId="0" applyFont="1" applyFill="1" applyBorder="1" applyAlignment="1">
      <alignment/>
    </xf>
    <xf numFmtId="0" fontId="0" fillId="4" borderId="21" xfId="16" applyFont="1" applyFill="1" applyBorder="1">
      <alignment vertical="center"/>
      <protection/>
    </xf>
    <xf numFmtId="0" fontId="1" fillId="4" borderId="24" xfId="16" applyFont="1" applyFill="1" applyBorder="1">
      <alignment vertical="center"/>
      <protection/>
    </xf>
    <xf numFmtId="0" fontId="0" fillId="0" borderId="20" xfId="16" applyFont="1" applyBorder="1">
      <alignment vertical="center"/>
      <protection/>
    </xf>
    <xf numFmtId="0" fontId="0" fillId="0" borderId="23" xfId="16" applyFont="1" applyBorder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26" xfId="16" applyFont="1" applyFill="1" applyBorder="1">
      <alignment vertical="center"/>
      <protection/>
    </xf>
    <xf numFmtId="0" fontId="0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1" fillId="4" borderId="28" xfId="16" applyFont="1" applyFill="1" applyBorder="1">
      <alignment vertical="center"/>
      <protection/>
    </xf>
    <xf numFmtId="183" fontId="1" fillId="4" borderId="27" xfId="16" applyNumberFormat="1" applyFont="1" applyFill="1" applyBorder="1">
      <alignment vertical="center"/>
      <protection/>
    </xf>
    <xf numFmtId="0" fontId="1" fillId="4" borderId="27" xfId="0" applyFont="1" applyFill="1" applyBorder="1" applyAlignment="1">
      <alignment/>
    </xf>
    <xf numFmtId="0" fontId="0" fillId="4" borderId="24" xfId="16" applyFont="1" applyFill="1" applyBorder="1">
      <alignment vertical="center"/>
      <protection/>
    </xf>
    <xf numFmtId="0" fontId="0" fillId="4" borderId="24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1" fillId="4" borderId="41" xfId="16" applyFont="1" applyFill="1" applyBorder="1">
      <alignment vertical="center"/>
      <protection/>
    </xf>
    <xf numFmtId="183" fontId="1" fillId="4" borderId="42" xfId="16" applyNumberFormat="1" applyFont="1" applyFill="1" applyBorder="1">
      <alignment vertical="center"/>
      <protection/>
    </xf>
    <xf numFmtId="0" fontId="1" fillId="4" borderId="42" xfId="0" applyFont="1" applyFill="1" applyBorder="1" applyAlignment="1">
      <alignment/>
    </xf>
    <xf numFmtId="0" fontId="1" fillId="4" borderId="43" xfId="0" applyFont="1" applyFill="1" applyBorder="1" applyAlignment="1">
      <alignment/>
    </xf>
    <xf numFmtId="0" fontId="1" fillId="4" borderId="44" xfId="0" applyFont="1" applyFill="1" applyBorder="1" applyAlignment="1">
      <alignment/>
    </xf>
    <xf numFmtId="0" fontId="1" fillId="4" borderId="45" xfId="0" applyFont="1" applyFill="1" applyBorder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4" borderId="21" xfId="16" applyFont="1" applyFill="1" applyBorder="1">
      <alignment vertical="center"/>
      <protection/>
    </xf>
    <xf numFmtId="0" fontId="1" fillId="4" borderId="24" xfId="0" applyFont="1" applyFill="1" applyBorder="1" applyAlignment="1">
      <alignment/>
    </xf>
    <xf numFmtId="0" fontId="0" fillId="0" borderId="5" xfId="16" applyFont="1" applyBorder="1">
      <alignment vertical="center"/>
      <protection/>
    </xf>
    <xf numFmtId="0" fontId="1" fillId="0" borderId="44" xfId="0" applyFont="1" applyBorder="1" applyAlignment="1">
      <alignment horizontal="center"/>
    </xf>
    <xf numFmtId="0" fontId="0" fillId="0" borderId="23" xfId="16" applyFont="1" applyFill="1" applyBorder="1" applyAlignment="1">
      <alignment horizontal="center"/>
      <protection/>
    </xf>
    <xf numFmtId="0" fontId="1" fillId="0" borderId="45" xfId="0" applyFont="1" applyBorder="1" applyAlignment="1">
      <alignment horizontal="center"/>
    </xf>
    <xf numFmtId="0" fontId="1" fillId="4" borderId="11" xfId="16" applyFont="1" applyFill="1" applyBorder="1">
      <alignment vertical="center"/>
      <protection/>
    </xf>
    <xf numFmtId="0" fontId="1" fillId="4" borderId="24" xfId="16" applyFont="1" applyFill="1" applyBorder="1" applyAlignment="1">
      <alignment horizontal="center" vertical="center"/>
      <protection/>
    </xf>
    <xf numFmtId="0" fontId="1" fillId="0" borderId="3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46" xfId="16" applyFont="1" applyBorder="1">
      <alignment vertical="center"/>
      <protection/>
    </xf>
    <xf numFmtId="0" fontId="0" fillId="0" borderId="26" xfId="16" applyFont="1" applyBorder="1">
      <alignment vertical="center"/>
      <protection/>
    </xf>
    <xf numFmtId="0" fontId="1" fillId="4" borderId="47" xfId="16" applyFont="1" applyFill="1" applyBorder="1">
      <alignment vertical="center"/>
      <protection/>
    </xf>
    <xf numFmtId="0" fontId="1" fillId="4" borderId="19" xfId="16" applyFont="1" applyFill="1" applyBorder="1">
      <alignment vertical="center"/>
      <protection/>
    </xf>
    <xf numFmtId="183" fontId="1" fillId="4" borderId="25" xfId="23" applyFont="1" applyFill="1" applyBorder="1" applyAlignment="1">
      <alignment horizontal="center" vertical="center"/>
    </xf>
    <xf numFmtId="183" fontId="1" fillId="4" borderId="22" xfId="23" applyFont="1" applyFill="1" applyBorder="1" applyAlignment="1">
      <alignment horizontal="center" vertical="center"/>
    </xf>
    <xf numFmtId="0" fontId="1" fillId="4" borderId="33" xfId="16" applyFont="1" applyFill="1" applyBorder="1" applyAlignment="1">
      <alignment horizontal="center" vertical="center"/>
      <protection/>
    </xf>
    <xf numFmtId="9" fontId="0" fillId="0" borderId="23" xfId="16" applyNumberFormat="1" applyFont="1" applyFill="1" applyBorder="1">
      <alignment vertical="center"/>
      <protection/>
    </xf>
    <xf numFmtId="0" fontId="1" fillId="0" borderId="15" xfId="0" applyFont="1" applyBorder="1" applyAlignment="1">
      <alignment horizontal="center"/>
    </xf>
    <xf numFmtId="0" fontId="0" fillId="0" borderId="24" xfId="16" applyFont="1" applyBorder="1">
      <alignment vertical="center"/>
      <protection/>
    </xf>
    <xf numFmtId="0" fontId="0" fillId="4" borderId="6" xfId="16" applyFont="1" applyFill="1" applyBorder="1">
      <alignment vertical="center"/>
      <protection/>
    </xf>
    <xf numFmtId="0" fontId="1" fillId="4" borderId="28" xfId="0" applyFont="1" applyFill="1" applyBorder="1" applyAlignment="1">
      <alignment/>
    </xf>
    <xf numFmtId="183" fontId="1" fillId="4" borderId="27" xfId="23" applyFont="1" applyFill="1" applyBorder="1" applyAlignment="1">
      <alignment vertical="center"/>
    </xf>
    <xf numFmtId="0" fontId="0" fillId="0" borderId="34" xfId="16" applyFont="1" applyBorder="1">
      <alignment vertical="center"/>
      <protection/>
    </xf>
    <xf numFmtId="0" fontId="1" fillId="4" borderId="7" xfId="16" applyFont="1" applyFill="1" applyBorder="1">
      <alignment vertical="center"/>
      <protection/>
    </xf>
    <xf numFmtId="183" fontId="1" fillId="4" borderId="8" xfId="16" applyNumberFormat="1" applyFont="1" applyFill="1" applyBorder="1">
      <alignment vertical="center"/>
      <protection/>
    </xf>
    <xf numFmtId="0" fontId="1" fillId="4" borderId="12" xfId="16" applyFont="1" applyFill="1" applyBorder="1">
      <alignment vertical="center"/>
      <protection/>
    </xf>
    <xf numFmtId="0" fontId="0" fillId="0" borderId="48" xfId="16" applyFont="1" applyBorder="1">
      <alignment vertical="center"/>
      <protection/>
    </xf>
    <xf numFmtId="0" fontId="1" fillId="0" borderId="26" xfId="16" applyFont="1" applyFill="1" applyBorder="1" applyAlignment="1">
      <alignment horizontal="center" vertical="center"/>
      <protection/>
    </xf>
    <xf numFmtId="0" fontId="1" fillId="0" borderId="26" xfId="16" applyFont="1" applyFill="1" applyBorder="1">
      <alignment vertical="center"/>
      <protection/>
    </xf>
    <xf numFmtId="183" fontId="0" fillId="0" borderId="26" xfId="23" applyFont="1" applyFill="1" applyBorder="1" applyAlignment="1">
      <alignment vertical="center"/>
    </xf>
    <xf numFmtId="0" fontId="1" fillId="4" borderId="44" xfId="0" applyFont="1" applyFill="1" applyBorder="1" applyAlignment="1">
      <alignment horizontal="center"/>
    </xf>
    <xf numFmtId="0" fontId="1" fillId="4" borderId="29" xfId="0" applyFont="1" applyFill="1" applyBorder="1" applyAlignment="1">
      <alignment/>
    </xf>
    <xf numFmtId="0" fontId="0" fillId="0" borderId="29" xfId="16" applyFont="1" applyBorder="1">
      <alignment vertical="center"/>
      <protection/>
    </xf>
    <xf numFmtId="183" fontId="0" fillId="0" borderId="49" xfId="23" applyFont="1" applyBorder="1" applyAlignment="1">
      <alignment vertical="center"/>
    </xf>
    <xf numFmtId="0" fontId="0" fillId="0" borderId="26" xfId="16" applyFont="1" applyBorder="1" applyAlignment="1">
      <alignment horizontal="center" vertical="center"/>
      <protection/>
    </xf>
    <xf numFmtId="9" fontId="0" fillId="0" borderId="26" xfId="19" applyNumberFormat="1" applyFont="1" applyFill="1" applyBorder="1" applyAlignment="1">
      <alignment horizontal="center" vertical="center"/>
      <protection/>
    </xf>
    <xf numFmtId="183" fontId="0" fillId="0" borderId="46" xfId="23" applyFont="1" applyBorder="1" applyAlignment="1">
      <alignment vertical="center"/>
    </xf>
    <xf numFmtId="183" fontId="1" fillId="4" borderId="44" xfId="23" applyFont="1" applyFill="1" applyBorder="1" applyAlignment="1">
      <alignment horizontal="center" vertical="center"/>
    </xf>
    <xf numFmtId="0" fontId="0" fillId="0" borderId="24" xfId="16" applyFont="1" applyFill="1" applyBorder="1" applyAlignment="1">
      <alignment horizontal="center" vertical="center"/>
      <protection/>
    </xf>
    <xf numFmtId="0" fontId="1" fillId="0" borderId="50" xfId="16" applyFont="1" applyFill="1" applyBorder="1" applyAlignment="1">
      <alignment horizontal="center" vertical="center"/>
      <protection/>
    </xf>
    <xf numFmtId="0" fontId="1" fillId="0" borderId="51" xfId="16" applyFont="1" applyFill="1" applyBorder="1">
      <alignment vertical="center"/>
      <protection/>
    </xf>
    <xf numFmtId="0" fontId="1" fillId="9" borderId="0" xfId="0" applyFont="1" applyFill="1" applyAlignment="1">
      <alignment/>
    </xf>
    <xf numFmtId="189" fontId="1" fillId="9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52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4" borderId="0" xfId="0" applyFill="1" applyAlignment="1">
      <alignment/>
    </xf>
    <xf numFmtId="0" fontId="0" fillId="0" borderId="23" xfId="16" applyFont="1" applyBorder="1" applyAlignment="1">
      <alignment horizontal="center" vertical="center"/>
      <protection/>
    </xf>
    <xf numFmtId="0" fontId="1" fillId="4" borderId="27" xfId="16" applyFont="1" applyFill="1" applyBorder="1" applyAlignment="1">
      <alignment horizontal="center" vertical="center"/>
      <protection/>
    </xf>
    <xf numFmtId="0" fontId="1" fillId="4" borderId="9" xfId="16" applyFont="1" applyFill="1" applyBorder="1">
      <alignment vertical="center"/>
      <protection/>
    </xf>
    <xf numFmtId="0" fontId="0" fillId="0" borderId="48" xfId="16" applyFont="1" applyBorder="1" applyAlignment="1">
      <alignment horizontal="center" vertical="center"/>
      <protection/>
    </xf>
    <xf numFmtId="0" fontId="1" fillId="3" borderId="20" xfId="16" applyFont="1" applyFill="1" applyBorder="1">
      <alignment vertical="center"/>
      <protection/>
    </xf>
    <xf numFmtId="183" fontId="1" fillId="3" borderId="26" xfId="16" applyNumberFormat="1" applyFont="1" applyFill="1" applyBorder="1">
      <alignment vertical="center"/>
      <protection/>
    </xf>
    <xf numFmtId="183" fontId="1" fillId="3" borderId="26" xfId="23" applyFont="1" applyFill="1" applyBorder="1" applyAlignment="1">
      <alignment vertical="center"/>
    </xf>
    <xf numFmtId="0" fontId="1" fillId="3" borderId="26" xfId="0" applyFont="1" applyFill="1" applyBorder="1" applyAlignment="1">
      <alignment/>
    </xf>
    <xf numFmtId="0" fontId="1" fillId="3" borderId="26" xfId="16" applyFont="1" applyFill="1" applyBorder="1">
      <alignment vertical="center"/>
      <protection/>
    </xf>
    <xf numFmtId="0" fontId="1" fillId="3" borderId="21" xfId="16" applyFont="1" applyFill="1" applyBorder="1">
      <alignment vertical="center"/>
      <protection/>
    </xf>
    <xf numFmtId="183" fontId="1" fillId="3" borderId="29" xfId="16" applyNumberFormat="1" applyFont="1" applyFill="1" applyBorder="1">
      <alignment vertical="center"/>
      <protection/>
    </xf>
    <xf numFmtId="0" fontId="1" fillId="3" borderId="29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0" fillId="2" borderId="0" xfId="0" applyFill="1" applyAlignment="1">
      <alignment/>
    </xf>
    <xf numFmtId="207" fontId="0" fillId="0" borderId="23" xfId="19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10" borderId="23" xfId="0" applyFont="1" applyFill="1" applyBorder="1" applyAlignment="1">
      <alignment horizontal="center"/>
    </xf>
    <xf numFmtId="205" fontId="0" fillId="0" borderId="0" xfId="0" applyNumberFormat="1" applyAlignment="1">
      <alignment/>
    </xf>
    <xf numFmtId="43" fontId="0" fillId="0" borderId="0" xfId="0" applyNumberFormat="1" applyAlignment="1">
      <alignment/>
    </xf>
    <xf numFmtId="215" fontId="0" fillId="0" borderId="0" xfId="0" applyNumberFormat="1" applyAlignment="1">
      <alignment/>
    </xf>
    <xf numFmtId="202" fontId="0" fillId="0" borderId="0" xfId="0" applyNumberFormat="1" applyAlignment="1">
      <alignment/>
    </xf>
    <xf numFmtId="189" fontId="1" fillId="5" borderId="0" xfId="0" applyNumberFormat="1" applyFont="1" applyFill="1" applyAlignment="1">
      <alignment/>
    </xf>
    <xf numFmtId="189" fontId="0" fillId="0" borderId="23" xfId="16" applyNumberFormat="1" applyFont="1" applyFill="1" applyBorder="1" applyAlignment="1">
      <alignment horizontal="center" vertical="center"/>
      <protection/>
    </xf>
    <xf numFmtId="189" fontId="0" fillId="0" borderId="26" xfId="16" applyNumberFormat="1" applyFont="1" applyFill="1" applyBorder="1">
      <alignment vertical="center"/>
      <protection/>
    </xf>
    <xf numFmtId="189" fontId="1" fillId="3" borderId="10" xfId="23" applyNumberFormat="1" applyFont="1" applyFill="1" applyBorder="1" applyAlignment="1">
      <alignment vertical="center"/>
    </xf>
    <xf numFmtId="189" fontId="0" fillId="0" borderId="0" xfId="19" applyNumberFormat="1" applyFont="1" applyFill="1">
      <alignment vertical="center"/>
      <protection/>
    </xf>
    <xf numFmtId="189" fontId="1" fillId="4" borderId="2" xfId="23" applyNumberFormat="1" applyFont="1" applyFill="1" applyBorder="1" applyAlignment="1">
      <alignment vertical="center"/>
    </xf>
    <xf numFmtId="189" fontId="0" fillId="0" borderId="0" xfId="19" applyNumberFormat="1" applyFont="1" applyFill="1" applyBorder="1">
      <alignment vertical="center"/>
      <protection/>
    </xf>
    <xf numFmtId="189" fontId="1" fillId="5" borderId="0" xfId="23" applyNumberFormat="1" applyFont="1" applyFill="1" applyBorder="1" applyAlignment="1">
      <alignment/>
    </xf>
    <xf numFmtId="189" fontId="1" fillId="4" borderId="0" xfId="23" applyNumberFormat="1" applyFont="1" applyFill="1" applyBorder="1" applyAlignment="1">
      <alignment/>
    </xf>
    <xf numFmtId="202" fontId="1" fillId="4" borderId="0" xfId="19" applyNumberFormat="1" applyFont="1" applyFill="1" applyBorder="1" applyAlignment="1">
      <alignment horizontal="center" vertical="center"/>
      <protection/>
    </xf>
    <xf numFmtId="202" fontId="1" fillId="4" borderId="24" xfId="19" applyNumberFormat="1" applyFont="1" applyFill="1" applyBorder="1" applyAlignment="1">
      <alignment horizontal="center" vertical="center"/>
      <protection/>
    </xf>
    <xf numFmtId="202" fontId="1" fillId="4" borderId="12" xfId="19" applyNumberFormat="1" applyFont="1" applyFill="1" applyBorder="1" applyAlignment="1">
      <alignment horizontal="center" vertical="center"/>
      <protection/>
    </xf>
    <xf numFmtId="183" fontId="1" fillId="4" borderId="8" xfId="23" applyNumberFormat="1" applyFont="1" applyFill="1" applyBorder="1" applyAlignment="1">
      <alignment horizontal="right" vertical="center"/>
    </xf>
    <xf numFmtId="205" fontId="1" fillId="4" borderId="12" xfId="19" applyNumberFormat="1" applyFont="1" applyFill="1" applyBorder="1" applyAlignment="1">
      <alignment horizontal="right" vertical="center"/>
      <protection/>
    </xf>
    <xf numFmtId="189" fontId="1" fillId="4" borderId="8" xfId="23" applyNumberFormat="1" applyFont="1" applyFill="1" applyBorder="1" applyAlignment="1">
      <alignment horizontal="right" vertical="center"/>
    </xf>
    <xf numFmtId="202" fontId="1" fillId="8" borderId="22" xfId="19" applyNumberFormat="1" applyFont="1" applyFill="1" applyBorder="1" applyAlignment="1">
      <alignment horizontal="center" vertical="center"/>
      <protection/>
    </xf>
    <xf numFmtId="189" fontId="1" fillId="4" borderId="40" xfId="16" applyNumberFormat="1" applyFont="1" applyFill="1" applyBorder="1">
      <alignment vertical="center"/>
      <protection/>
    </xf>
    <xf numFmtId="189" fontId="1" fillId="4" borderId="24" xfId="16" applyNumberFormat="1" applyFont="1" applyFill="1" applyBorder="1">
      <alignment vertical="center"/>
      <protection/>
    </xf>
    <xf numFmtId="189" fontId="1" fillId="4" borderId="53" xfId="16" applyNumberFormat="1" applyFont="1" applyFill="1" applyBorder="1">
      <alignment vertical="center"/>
      <protection/>
    </xf>
    <xf numFmtId="189" fontId="1" fillId="4" borderId="21" xfId="16" applyNumberFormat="1" applyFont="1" applyFill="1" applyBorder="1" applyAlignment="1">
      <alignment horizontal="center" vertical="center"/>
      <protection/>
    </xf>
    <xf numFmtId="189" fontId="1" fillId="4" borderId="24" xfId="23" applyNumberFormat="1" applyFont="1" applyFill="1" applyBorder="1" applyAlignment="1">
      <alignment vertical="center"/>
    </xf>
    <xf numFmtId="189" fontId="1" fillId="4" borderId="12" xfId="16" applyNumberFormat="1" applyFont="1" applyFill="1" applyBorder="1">
      <alignment vertical="center"/>
      <protection/>
    </xf>
    <xf numFmtId="215" fontId="1" fillId="0" borderId="0" xfId="0" applyNumberFormat="1" applyFont="1" applyAlignment="1">
      <alignment/>
    </xf>
    <xf numFmtId="189" fontId="1" fillId="4" borderId="12" xfId="23" applyNumberFormat="1" applyFont="1" applyFill="1" applyBorder="1" applyAlignment="1">
      <alignment vertical="center"/>
    </xf>
    <xf numFmtId="215" fontId="0" fillId="2" borderId="0" xfId="19" applyNumberFormat="1" applyFont="1" applyFill="1">
      <alignment vertical="center"/>
      <protection/>
    </xf>
    <xf numFmtId="189" fontId="0" fillId="0" borderId="0" xfId="0" applyNumberForma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0" fontId="0" fillId="0" borderId="0" xfId="19" applyFont="1" applyFill="1" applyAlignment="1">
      <alignment horizontal="right" vertical="center"/>
      <protection/>
    </xf>
    <xf numFmtId="189" fontId="0" fillId="0" borderId="0" xfId="0" applyNumberFormat="1" applyAlignment="1">
      <alignment horizontal="left"/>
    </xf>
    <xf numFmtId="0" fontId="0" fillId="0" borderId="0" xfId="0" applyAlignment="1">
      <alignment/>
    </xf>
    <xf numFmtId="188" fontId="0" fillId="2" borderId="0" xfId="23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203" fontId="0" fillId="2" borderId="0" xfId="0" applyNumberFormat="1" applyFont="1" applyFill="1" applyBorder="1" applyAlignment="1">
      <alignment horizontal="center"/>
    </xf>
    <xf numFmtId="0" fontId="14" fillId="2" borderId="23" xfId="18" applyFont="1" applyFill="1" applyBorder="1" applyAlignment="1">
      <alignment horizontal="center"/>
      <protection/>
    </xf>
    <xf numFmtId="203" fontId="0" fillId="2" borderId="23" xfId="15" applyNumberFormat="1" applyFont="1" applyFill="1" applyBorder="1" applyAlignment="1">
      <alignment horizontal="center" vertical="center"/>
      <protection/>
    </xf>
    <xf numFmtId="203" fontId="0" fillId="0" borderId="0" xfId="15" applyNumberFormat="1" applyFont="1" applyFill="1" applyAlignment="1">
      <alignment horizontal="center"/>
      <protection/>
    </xf>
    <xf numFmtId="224" fontId="0" fillId="2" borderId="23" xfId="16" applyNumberFormat="1" applyFont="1" applyFill="1" applyBorder="1">
      <alignment vertical="center"/>
      <protection/>
    </xf>
    <xf numFmtId="4" fontId="0" fillId="2" borderId="0" xfId="0" applyNumberFormat="1" applyFont="1" applyFill="1" applyBorder="1" applyAlignment="1">
      <alignment horizontal="center"/>
    </xf>
    <xf numFmtId="0" fontId="23" fillId="0" borderId="54" xfId="0" applyFont="1" applyBorder="1" applyAlignment="1">
      <alignment horizontal="justify" vertical="top" wrapText="1"/>
    </xf>
    <xf numFmtId="0" fontId="23" fillId="0" borderId="55" xfId="0" applyFont="1" applyBorder="1" applyAlignment="1">
      <alignment horizontal="justify" vertical="top" wrapText="1"/>
    </xf>
    <xf numFmtId="0" fontId="23" fillId="0" borderId="3" xfId="0" applyFont="1" applyBorder="1" applyAlignment="1">
      <alignment horizontal="justify" vertical="top" wrapText="1"/>
    </xf>
    <xf numFmtId="0" fontId="23" fillId="0" borderId="56" xfId="0" applyFont="1" applyBorder="1" applyAlignment="1">
      <alignment horizontal="justify" vertical="top" wrapText="1"/>
    </xf>
    <xf numFmtId="0" fontId="23" fillId="0" borderId="6" xfId="0" applyFont="1" applyBorder="1" applyAlignment="1">
      <alignment horizontal="justify" vertical="top" wrapText="1"/>
    </xf>
    <xf numFmtId="0" fontId="23" fillId="0" borderId="57" xfId="0" applyFont="1" applyBorder="1" applyAlignment="1">
      <alignment horizontal="center"/>
    </xf>
    <xf numFmtId="189" fontId="23" fillId="0" borderId="58" xfId="0" applyNumberFormat="1" applyFont="1" applyBorder="1" applyAlignment="1">
      <alignment horizontal="justify" vertical="top" wrapText="1"/>
    </xf>
    <xf numFmtId="189" fontId="23" fillId="0" borderId="56" xfId="0" applyNumberFormat="1" applyFont="1" applyBorder="1" applyAlignment="1">
      <alignment horizontal="justify" vertical="top" wrapText="1"/>
    </xf>
  </cellXfs>
  <cellStyles count="12">
    <cellStyle name="Normal" xfId="0"/>
    <cellStyle name="Normal_Sheet2" xfId="15"/>
    <cellStyle name="Normal_Sheet3" xfId="16"/>
    <cellStyle name="Percent" xfId="17"/>
    <cellStyle name="常规_Sheet2" xfId="18"/>
    <cellStyle name="常规_范霍夫数－计算结果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5">
      <selection activeCell="A69" sqref="A69"/>
    </sheetView>
  </sheetViews>
  <sheetFormatPr defaultColWidth="9.140625" defaultRowHeight="12.75"/>
  <cols>
    <col min="1" max="1" width="20.421875" style="0" customWidth="1"/>
    <col min="2" max="2" width="20.57421875" style="0" customWidth="1"/>
    <col min="3" max="3" width="15.8515625" style="0" customWidth="1"/>
    <col min="4" max="4" width="21.140625" style="0" customWidth="1"/>
    <col min="5" max="5" width="37.8515625" style="0" customWidth="1"/>
    <col min="6" max="6" width="58.00390625" style="0" customWidth="1"/>
  </cols>
  <sheetData>
    <row r="1" spans="1:3" ht="12.75">
      <c r="A1" s="1" t="s">
        <v>0</v>
      </c>
      <c r="B1" s="1"/>
      <c r="C1" s="1"/>
    </row>
    <row r="2" spans="1:3" ht="12.75">
      <c r="A2" s="1" t="s">
        <v>56</v>
      </c>
      <c r="B2" s="1"/>
      <c r="C2" s="1"/>
    </row>
    <row r="3" spans="1:2" ht="12.75">
      <c r="A3" s="1" t="s">
        <v>27</v>
      </c>
      <c r="B3" s="1"/>
    </row>
    <row r="4" ht="13.5" thickBot="1"/>
    <row r="5" spans="1:5" ht="13.5" thickBot="1">
      <c r="A5" s="2" t="s">
        <v>4</v>
      </c>
      <c r="B5" s="3" t="s">
        <v>38</v>
      </c>
      <c r="C5" s="3"/>
      <c r="D5" s="3" t="s">
        <v>3</v>
      </c>
      <c r="E5" s="4" t="s">
        <v>5</v>
      </c>
    </row>
    <row r="6" spans="1:5" ht="12.75">
      <c r="A6" s="8"/>
      <c r="B6" s="11" t="s">
        <v>14</v>
      </c>
      <c r="C6" s="11" t="s">
        <v>15</v>
      </c>
      <c r="D6" s="11"/>
      <c r="E6" s="12"/>
    </row>
    <row r="7" spans="1:6" ht="12.75">
      <c r="A7" s="14" t="s">
        <v>16</v>
      </c>
      <c r="B7" s="308">
        <f>0.01*0.9/0.9</f>
        <v>0.01</v>
      </c>
      <c r="C7" s="309">
        <f>0.02*2.4/1.8</f>
        <v>0.026666666666666665</v>
      </c>
      <c r="D7" s="9" t="s">
        <v>17</v>
      </c>
      <c r="E7" s="22" t="s">
        <v>18</v>
      </c>
      <c r="F7" s="250" t="s">
        <v>185</v>
      </c>
    </row>
    <row r="8" spans="1:6" ht="15.75">
      <c r="A8" s="5" t="s">
        <v>11</v>
      </c>
      <c r="B8" s="9">
        <v>21</v>
      </c>
      <c r="C8" s="15">
        <v>21</v>
      </c>
      <c r="D8" s="6" t="s">
        <v>1</v>
      </c>
      <c r="E8" s="7" t="s">
        <v>19</v>
      </c>
      <c r="F8" t="s">
        <v>186</v>
      </c>
    </row>
    <row r="9" spans="1:6" ht="12.75">
      <c r="A9" s="5" t="s">
        <v>20</v>
      </c>
      <c r="B9" s="9">
        <v>0.7</v>
      </c>
      <c r="C9" s="66">
        <v>0.7</v>
      </c>
      <c r="D9" s="6" t="s">
        <v>2</v>
      </c>
      <c r="E9" t="s">
        <v>246</v>
      </c>
      <c r="F9" t="s">
        <v>187</v>
      </c>
    </row>
    <row r="10" spans="1:5" ht="12.75">
      <c r="A10" s="5" t="s">
        <v>21</v>
      </c>
      <c r="B10" s="15">
        <v>0.94</v>
      </c>
      <c r="C10" s="67">
        <v>0.94</v>
      </c>
      <c r="D10" s="6"/>
      <c r="E10" t="s">
        <v>242</v>
      </c>
    </row>
    <row r="11" spans="1:6" ht="15.75">
      <c r="A11" s="5" t="s">
        <v>12</v>
      </c>
      <c r="B11" s="15">
        <v>0.00067</v>
      </c>
      <c r="C11" s="15">
        <v>0.00067</v>
      </c>
      <c r="D11" s="6" t="s">
        <v>22</v>
      </c>
      <c r="E11" t="s">
        <v>19</v>
      </c>
      <c r="F11" t="s">
        <v>6</v>
      </c>
    </row>
    <row r="12" spans="1:6" ht="15.75">
      <c r="A12" s="5" t="s">
        <v>23</v>
      </c>
      <c r="B12" s="15">
        <v>0.36</v>
      </c>
      <c r="C12" s="15">
        <v>0.39</v>
      </c>
      <c r="D12" s="6" t="s">
        <v>24</v>
      </c>
      <c r="E12" s="7" t="s">
        <v>18</v>
      </c>
      <c r="F12" t="s">
        <v>189</v>
      </c>
    </row>
    <row r="13" spans="1:5" ht="12.75">
      <c r="A13" s="5"/>
      <c r="B13" s="15"/>
      <c r="C13" s="15"/>
      <c r="D13" s="6"/>
      <c r="E13" s="7" t="s">
        <v>188</v>
      </c>
    </row>
    <row r="14" spans="1:6" ht="12.75">
      <c r="A14" s="5" t="s">
        <v>25</v>
      </c>
      <c r="B14" s="16">
        <v>1</v>
      </c>
      <c r="C14" s="16">
        <v>1</v>
      </c>
      <c r="D14" s="6" t="s">
        <v>2</v>
      </c>
      <c r="E14" s="7"/>
      <c r="F14" t="s">
        <v>190</v>
      </c>
    </row>
    <row r="15" spans="1:6" ht="16.5" thickBot="1">
      <c r="A15" s="5" t="s">
        <v>13</v>
      </c>
      <c r="B15" s="17">
        <v>3626292</v>
      </c>
      <c r="C15" s="63">
        <v>637638</v>
      </c>
      <c r="D15" s="6" t="s">
        <v>243</v>
      </c>
      <c r="E15" s="7" t="s">
        <v>10</v>
      </c>
      <c r="F15" t="s">
        <v>8</v>
      </c>
    </row>
    <row r="16" spans="1:5" ht="12.75">
      <c r="A16" s="42" t="s">
        <v>26</v>
      </c>
      <c r="B16" s="68">
        <f>B7*B8*B9*B10*B11*B12*B14*B15*365</f>
        <v>44114.171592365274</v>
      </c>
      <c r="C16" s="69">
        <f>C7*C8*C9*C10*C11*C12*C14*C15*365</f>
        <v>22408.892113214875</v>
      </c>
      <c r="D16" s="70"/>
      <c r="E16" s="71"/>
    </row>
    <row r="17" spans="1:5" ht="13.5" thickBot="1">
      <c r="A17" s="44"/>
      <c r="B17" s="72">
        <f>ROUND(B16+C16,0)</f>
        <v>66523</v>
      </c>
      <c r="C17" s="45"/>
      <c r="D17" s="45"/>
      <c r="E17" s="73"/>
    </row>
    <row r="18" ht="12.75">
      <c r="D18" s="272"/>
    </row>
    <row r="19" spans="1:2" ht="12.75">
      <c r="A19" s="1" t="s">
        <v>57</v>
      </c>
      <c r="B19" s="1"/>
    </row>
    <row r="20" spans="1:2" ht="12.75">
      <c r="A20" s="1" t="s">
        <v>30</v>
      </c>
      <c r="B20" s="1"/>
    </row>
    <row r="21" spans="1:2" ht="12.75" customHeight="1">
      <c r="A21" s="18" t="s">
        <v>28</v>
      </c>
      <c r="B21" s="1" t="s">
        <v>43</v>
      </c>
    </row>
    <row r="22" ht="13.5" thickBot="1"/>
    <row r="23" spans="1:5" ht="13.5" thickBot="1">
      <c r="A23" s="2" t="s">
        <v>4</v>
      </c>
      <c r="B23" s="3" t="s">
        <v>32</v>
      </c>
      <c r="C23" s="3"/>
      <c r="D23" s="3" t="s">
        <v>3</v>
      </c>
      <c r="E23" s="4" t="s">
        <v>5</v>
      </c>
    </row>
    <row r="24" spans="1:5" ht="12.75">
      <c r="A24" s="8"/>
      <c r="B24" s="11" t="s">
        <v>14</v>
      </c>
      <c r="C24" s="11" t="s">
        <v>15</v>
      </c>
      <c r="D24" s="11"/>
      <c r="E24" s="12"/>
    </row>
    <row r="25" spans="1:6" ht="15.75">
      <c r="A25" s="5" t="s">
        <v>33</v>
      </c>
      <c r="B25" s="6">
        <v>310</v>
      </c>
      <c r="C25" s="23">
        <v>310</v>
      </c>
      <c r="D25" s="6" t="s">
        <v>1</v>
      </c>
      <c r="E25" s="7" t="s">
        <v>19</v>
      </c>
      <c r="F25" t="s">
        <v>191</v>
      </c>
    </row>
    <row r="26" spans="1:6" ht="15.75">
      <c r="A26" s="19" t="s">
        <v>42</v>
      </c>
      <c r="B26" s="9">
        <v>0</v>
      </c>
      <c r="C26" s="62">
        <v>0</v>
      </c>
      <c r="D26" s="6" t="s">
        <v>113</v>
      </c>
      <c r="E26" s="7" t="s">
        <v>192</v>
      </c>
      <c r="F26" t="s">
        <v>193</v>
      </c>
    </row>
    <row r="27" spans="1:5" ht="12.75">
      <c r="A27" s="19"/>
      <c r="B27" s="9"/>
      <c r="C27" s="62"/>
      <c r="D27" s="6"/>
      <c r="E27" s="7" t="s">
        <v>39</v>
      </c>
    </row>
    <row r="28" spans="1:6" ht="15.75">
      <c r="A28" s="19" t="s">
        <v>31</v>
      </c>
      <c r="B28" s="9" t="s">
        <v>34</v>
      </c>
      <c r="C28" s="15" t="s">
        <v>34</v>
      </c>
      <c r="D28" s="6" t="s">
        <v>1</v>
      </c>
      <c r="E28" s="7" t="s">
        <v>19</v>
      </c>
      <c r="F28" s="251" t="s">
        <v>194</v>
      </c>
    </row>
    <row r="29" spans="1:5" ht="15.75">
      <c r="A29" s="5" t="s">
        <v>13</v>
      </c>
      <c r="B29" s="63">
        <f>B15</f>
        <v>3626292</v>
      </c>
      <c r="C29" s="63">
        <f>C15</f>
        <v>637638</v>
      </c>
      <c r="D29" s="6" t="s">
        <v>7</v>
      </c>
      <c r="E29" s="7" t="s">
        <v>10</v>
      </c>
    </row>
    <row r="30" spans="1:6" ht="16.5" thickBot="1">
      <c r="A30" s="19" t="s">
        <v>100</v>
      </c>
      <c r="B30" s="9">
        <v>1.1</v>
      </c>
      <c r="C30" s="15">
        <v>0.83</v>
      </c>
      <c r="D30" s="6" t="s">
        <v>35</v>
      </c>
      <c r="E30" s="7" t="s">
        <v>36</v>
      </c>
      <c r="F30" s="251" t="s">
        <v>200</v>
      </c>
    </row>
    <row r="31" spans="1:5" ht="13.5" thickBot="1">
      <c r="A31" s="48" t="s">
        <v>37</v>
      </c>
      <c r="B31" s="40">
        <v>0</v>
      </c>
      <c r="C31" s="40">
        <v>0</v>
      </c>
      <c r="D31" s="49"/>
      <c r="E31" s="41"/>
    </row>
    <row r="33" ht="12.75">
      <c r="A33" s="1" t="s">
        <v>41</v>
      </c>
    </row>
    <row r="34" spans="1:2" ht="13.5" thickBot="1">
      <c r="A34" s="1" t="s">
        <v>45</v>
      </c>
      <c r="B34" s="1" t="s">
        <v>44</v>
      </c>
    </row>
    <row r="35" spans="1:5" ht="13.5" thickBot="1">
      <c r="A35" s="2" t="s">
        <v>4</v>
      </c>
      <c r="B35" s="3" t="s">
        <v>32</v>
      </c>
      <c r="C35" s="3"/>
      <c r="D35" s="3" t="s">
        <v>3</v>
      </c>
      <c r="E35" s="4" t="s">
        <v>5</v>
      </c>
    </row>
    <row r="36" spans="1:5" ht="12.75">
      <c r="A36" s="24"/>
      <c r="B36" s="25" t="s">
        <v>14</v>
      </c>
      <c r="C36" s="25" t="s">
        <v>15</v>
      </c>
      <c r="D36" s="25"/>
      <c r="E36" s="26"/>
    </row>
    <row r="37" spans="1:5" ht="15.75">
      <c r="A37" s="5" t="s">
        <v>33</v>
      </c>
      <c r="B37" s="6">
        <v>310</v>
      </c>
      <c r="C37" s="23">
        <v>310</v>
      </c>
      <c r="D37" s="6" t="s">
        <v>1</v>
      </c>
      <c r="E37" s="7" t="s">
        <v>19</v>
      </c>
    </row>
    <row r="38" spans="1:6" ht="15.75">
      <c r="A38" s="19" t="s">
        <v>46</v>
      </c>
      <c r="B38" s="9">
        <v>0.01</v>
      </c>
      <c r="C38" s="64">
        <v>0.01</v>
      </c>
      <c r="D38" s="6" t="s">
        <v>29</v>
      </c>
      <c r="E38" s="7" t="s">
        <v>195</v>
      </c>
      <c r="F38" t="s">
        <v>196</v>
      </c>
    </row>
    <row r="39" spans="1:5" ht="12.75">
      <c r="A39" s="19"/>
      <c r="B39" s="9"/>
      <c r="C39" s="62"/>
      <c r="D39" s="6"/>
      <c r="E39" s="7" t="s">
        <v>47</v>
      </c>
    </row>
    <row r="40" spans="1:5" ht="15.75">
      <c r="A40" s="19" t="s">
        <v>31</v>
      </c>
      <c r="B40" s="9" t="s">
        <v>34</v>
      </c>
      <c r="C40" s="15" t="s">
        <v>34</v>
      </c>
      <c r="D40" s="6" t="s">
        <v>1</v>
      </c>
      <c r="E40" s="7" t="s">
        <v>19</v>
      </c>
    </row>
    <row r="41" spans="1:6" ht="12.75">
      <c r="A41" s="19" t="s">
        <v>48</v>
      </c>
      <c r="B41" s="9">
        <v>0.4</v>
      </c>
      <c r="C41" s="15">
        <v>0.4</v>
      </c>
      <c r="D41" s="6"/>
      <c r="E41" s="7" t="s">
        <v>39</v>
      </c>
      <c r="F41" t="s">
        <v>197</v>
      </c>
    </row>
    <row r="42" spans="1:5" ht="15.75">
      <c r="A42" s="5" t="s">
        <v>13</v>
      </c>
      <c r="B42" s="63">
        <f>B15</f>
        <v>3626292</v>
      </c>
      <c r="C42" s="63">
        <f>C15</f>
        <v>637638</v>
      </c>
      <c r="D42" s="6" t="s">
        <v>7</v>
      </c>
      <c r="E42" s="7" t="s">
        <v>10</v>
      </c>
    </row>
    <row r="43" spans="1:6" ht="12.75">
      <c r="A43" s="5" t="s">
        <v>51</v>
      </c>
      <c r="B43" s="307">
        <f>0.9</f>
        <v>0.9</v>
      </c>
      <c r="C43" s="65">
        <f>1.8</f>
        <v>1.8</v>
      </c>
      <c r="D43" s="6" t="s">
        <v>199</v>
      </c>
      <c r="E43" s="7" t="s">
        <v>52</v>
      </c>
      <c r="F43" t="s">
        <v>198</v>
      </c>
    </row>
    <row r="44" spans="1:5" ht="12.75">
      <c r="A44" s="5"/>
      <c r="B44" s="20"/>
      <c r="C44" s="65"/>
      <c r="D44" s="6"/>
      <c r="E44" s="7" t="s">
        <v>53</v>
      </c>
    </row>
    <row r="45" spans="1:5" ht="12.75">
      <c r="A45" s="5" t="s">
        <v>50</v>
      </c>
      <c r="B45" s="20">
        <v>1.1</v>
      </c>
      <c r="C45" s="314">
        <f>0.83*2.4/1.8</f>
        <v>1.1066666666666665</v>
      </c>
      <c r="D45" s="6" t="s">
        <v>35</v>
      </c>
      <c r="E45" s="7" t="s">
        <v>36</v>
      </c>
    </row>
    <row r="46" spans="1:5" ht="12.75">
      <c r="A46" s="5"/>
      <c r="B46" s="21"/>
      <c r="C46" s="63"/>
      <c r="D46" s="6"/>
      <c r="E46" s="7" t="s">
        <v>55</v>
      </c>
    </row>
    <row r="47" spans="1:6" ht="12.75">
      <c r="A47" s="53" t="s">
        <v>49</v>
      </c>
      <c r="B47" s="54">
        <f>B43*B45/1000*365</f>
        <v>0.36135</v>
      </c>
      <c r="C47" s="55">
        <f>C43*C45/1000*365</f>
        <v>0.72708</v>
      </c>
      <c r="D47" s="56" t="s">
        <v>136</v>
      </c>
      <c r="E47" s="57" t="s">
        <v>54</v>
      </c>
      <c r="F47" t="s">
        <v>201</v>
      </c>
    </row>
    <row r="48" spans="1:5" ht="12.75">
      <c r="A48" s="58"/>
      <c r="B48" s="59"/>
      <c r="C48" s="59"/>
      <c r="D48" s="60"/>
      <c r="E48" s="61" t="s">
        <v>53</v>
      </c>
    </row>
    <row r="49" spans="1:5" ht="12.75">
      <c r="A49" s="50" t="s">
        <v>37</v>
      </c>
      <c r="B49" s="284">
        <f>310*0.01*44/28*B41*B42*B47/1000</f>
        <v>2553.331253955429</v>
      </c>
      <c r="C49" s="284">
        <f>310*0.01*44/28*C41*C42*C47/1000</f>
        <v>903.3846767465143</v>
      </c>
      <c r="D49" s="51"/>
      <c r="E49" s="52"/>
    </row>
    <row r="50" spans="1:5" ht="13.5" thickBot="1">
      <c r="A50" s="44"/>
      <c r="B50" s="72">
        <f>ROUND(SUM(B49:C49),0)</f>
        <v>3457</v>
      </c>
      <c r="C50" s="72"/>
      <c r="D50" s="46"/>
      <c r="E50" s="47"/>
    </row>
    <row r="52" ht="12.75">
      <c r="A52" s="1" t="s">
        <v>58</v>
      </c>
    </row>
    <row r="53" spans="1:4" ht="15" thickBot="1">
      <c r="A53" s="27" t="s">
        <v>59</v>
      </c>
      <c r="B53" s="1"/>
      <c r="C53" s="1"/>
      <c r="D53" s="1"/>
    </row>
    <row r="54" spans="1:5" ht="13.5" thickBot="1">
      <c r="A54" s="2" t="s">
        <v>4</v>
      </c>
      <c r="B54" s="3" t="s">
        <v>32</v>
      </c>
      <c r="C54" s="3"/>
      <c r="D54" s="3" t="s">
        <v>3</v>
      </c>
      <c r="E54" s="4" t="s">
        <v>5</v>
      </c>
    </row>
    <row r="55" spans="3:5" ht="12.75">
      <c r="C55" s="25"/>
      <c r="D55" s="25"/>
      <c r="E55" s="26"/>
    </row>
    <row r="56" spans="1:6" ht="12.75">
      <c r="A56" s="29" t="s">
        <v>60</v>
      </c>
      <c r="B56" s="29">
        <v>0.182</v>
      </c>
      <c r="C56" s="270" t="s">
        <v>247</v>
      </c>
      <c r="D56" s="28" t="s">
        <v>241</v>
      </c>
      <c r="E56" s="7" t="s">
        <v>133</v>
      </c>
      <c r="F56" t="s">
        <v>202</v>
      </c>
    </row>
    <row r="57" spans="1:6" ht="12.75">
      <c r="A57" s="29" t="s">
        <v>70</v>
      </c>
      <c r="B57" s="304">
        <v>0.9826</v>
      </c>
      <c r="D57" s="30" t="s">
        <v>69</v>
      </c>
      <c r="E57" s="7" t="s">
        <v>207</v>
      </c>
      <c r="F57" t="s">
        <v>203</v>
      </c>
    </row>
    <row r="58" spans="1:5" ht="12.75">
      <c r="A58" s="34" t="s">
        <v>77</v>
      </c>
      <c r="B58" s="279">
        <f>ROUND(B56*B57*1000,0)</f>
        <v>179</v>
      </c>
      <c r="C58" s="35"/>
      <c r="D58" s="36"/>
      <c r="E58" s="252" t="s">
        <v>208</v>
      </c>
    </row>
    <row r="59" spans="1:5" ht="12.75">
      <c r="A59" s="29"/>
      <c r="B59" s="29"/>
      <c r="C59" s="30"/>
      <c r="E59" s="253"/>
    </row>
    <row r="60" spans="1:6" ht="12.75">
      <c r="A60" s="29" t="s">
        <v>71</v>
      </c>
      <c r="B60" s="300">
        <v>16876.2546</v>
      </c>
      <c r="D60" s="28" t="s">
        <v>262</v>
      </c>
      <c r="E60" s="253" t="s">
        <v>133</v>
      </c>
      <c r="F60" t="s">
        <v>204</v>
      </c>
    </row>
    <row r="61" spans="1:6" ht="12.75">
      <c r="A61" s="29" t="s">
        <v>72</v>
      </c>
      <c r="B61" s="304">
        <v>0.9826</v>
      </c>
      <c r="D61" s="30" t="s">
        <v>61</v>
      </c>
      <c r="E61" s="253" t="s">
        <v>206</v>
      </c>
      <c r="F61" t="s">
        <v>205</v>
      </c>
    </row>
    <row r="62" spans="1:5" ht="12.75">
      <c r="A62" s="34" t="s">
        <v>73</v>
      </c>
      <c r="B62" s="279">
        <f>ROUND(B60*B61,0)</f>
        <v>16583</v>
      </c>
      <c r="C62" s="37"/>
      <c r="D62" s="36"/>
      <c r="E62" s="252" t="s">
        <v>208</v>
      </c>
    </row>
    <row r="63" spans="1:5" ht="13.5" thickBot="1">
      <c r="A63" s="29"/>
      <c r="B63" s="280"/>
      <c r="C63" s="30"/>
      <c r="D63" s="6"/>
      <c r="E63" s="7"/>
    </row>
    <row r="64" spans="1:5" ht="13.5" thickBot="1">
      <c r="A64" s="38" t="s">
        <v>74</v>
      </c>
      <c r="B64" s="281">
        <f>ROUND(B58+B62,0)</f>
        <v>16762</v>
      </c>
      <c r="C64" s="39"/>
      <c r="D64" s="40" t="s">
        <v>75</v>
      </c>
      <c r="E64" s="41" t="s">
        <v>208</v>
      </c>
    </row>
    <row r="65" spans="1:5" ht="12.75">
      <c r="A65" s="31"/>
      <c r="B65" s="282"/>
      <c r="C65" s="32"/>
      <c r="D65" s="6"/>
      <c r="E65" s="13"/>
    </row>
    <row r="66" spans="1:5" ht="12.75">
      <c r="A66" s="74" t="s">
        <v>76</v>
      </c>
      <c r="B66" s="283">
        <f>B17+C31+B31+B50+B64</f>
        <v>86742</v>
      </c>
      <c r="C66" s="75"/>
      <c r="D66" s="76"/>
      <c r="E66" s="76"/>
    </row>
    <row r="67" spans="1:5" ht="12.75">
      <c r="A67" s="13"/>
      <c r="B67" s="33"/>
      <c r="C67" s="13"/>
      <c r="D67" s="13"/>
      <c r="E67" s="13"/>
    </row>
    <row r="68" spans="1:4" ht="12.75">
      <c r="A68" t="s">
        <v>258</v>
      </c>
      <c r="B68" s="302" t="s">
        <v>255</v>
      </c>
      <c r="C68" s="302" t="s">
        <v>256</v>
      </c>
      <c r="D68" s="302" t="s">
        <v>257</v>
      </c>
    </row>
    <row r="69" spans="1:4" ht="12.75">
      <c r="A69" s="301">
        <f>B69+C69+D69</f>
        <v>86742</v>
      </c>
      <c r="B69" s="303">
        <f>B17</f>
        <v>66523</v>
      </c>
      <c r="C69" s="303">
        <f>B50</f>
        <v>3457</v>
      </c>
      <c r="D69" s="303">
        <f>B64</f>
        <v>16762</v>
      </c>
    </row>
    <row r="73" ht="12.75">
      <c r="D73">
        <f>19710*(B42+C42)/4979900</f>
        <v>16876.254603506095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51">
      <selection activeCell="A78" sqref="A78"/>
    </sheetView>
  </sheetViews>
  <sheetFormatPr defaultColWidth="9.140625" defaultRowHeight="12.75"/>
  <cols>
    <col min="1" max="1" width="41.57421875" style="0" customWidth="1"/>
    <col min="2" max="2" width="27.28125" style="0" customWidth="1"/>
    <col min="3" max="3" width="17.8515625" style="0" customWidth="1"/>
    <col min="4" max="4" width="17.00390625" style="0" customWidth="1"/>
    <col min="5" max="5" width="37.8515625" style="0" customWidth="1"/>
    <col min="6" max="6" width="25.28125" style="0" customWidth="1"/>
  </cols>
  <sheetData>
    <row r="1" ht="12.75">
      <c r="A1" s="1" t="s">
        <v>78</v>
      </c>
    </row>
    <row r="4" ht="12.75">
      <c r="A4" s="111" t="s">
        <v>91</v>
      </c>
    </row>
    <row r="5" ht="12.75">
      <c r="A5" s="1" t="s">
        <v>92</v>
      </c>
    </row>
    <row r="6" spans="1:4" ht="15" thickBot="1">
      <c r="A6" s="77" t="s">
        <v>97</v>
      </c>
      <c r="B6" s="78"/>
      <c r="C6" s="79"/>
      <c r="D6" s="79"/>
    </row>
    <row r="7" spans="1:5" ht="13.5" thickBot="1">
      <c r="A7" s="88" t="s">
        <v>4</v>
      </c>
      <c r="B7" s="93" t="s">
        <v>90</v>
      </c>
      <c r="C7" s="93"/>
      <c r="D7" s="93" t="s">
        <v>3</v>
      </c>
      <c r="E7" s="4" t="s">
        <v>5</v>
      </c>
    </row>
    <row r="8" spans="1:5" ht="12.75">
      <c r="A8" s="89"/>
      <c r="B8" s="94" t="s">
        <v>79</v>
      </c>
      <c r="C8" s="94" t="s">
        <v>80</v>
      </c>
      <c r="D8" s="94"/>
      <c r="E8" s="12"/>
    </row>
    <row r="9" spans="1:5" ht="12.75">
      <c r="A9" s="90" t="s">
        <v>84</v>
      </c>
      <c r="B9" s="310">
        <f>0.01*0.9/0.9</f>
        <v>0.01</v>
      </c>
      <c r="C9" s="311">
        <f>0.02*2.4/1.8</f>
        <v>0.026666666666666665</v>
      </c>
      <c r="D9" s="103" t="s">
        <v>85</v>
      </c>
      <c r="E9" s="22" t="s">
        <v>18</v>
      </c>
    </row>
    <row r="10" spans="1:5" ht="15.75">
      <c r="A10" s="90" t="s">
        <v>81</v>
      </c>
      <c r="B10" s="101">
        <f>'BASELINE EMISSION'!B15</f>
        <v>3626292</v>
      </c>
      <c r="C10" s="101">
        <f>'BASELINE EMISSION'!C15</f>
        <v>637638</v>
      </c>
      <c r="D10" s="104" t="s">
        <v>86</v>
      </c>
      <c r="E10" s="7" t="s">
        <v>259</v>
      </c>
    </row>
    <row r="11" spans="1:6" ht="15.75">
      <c r="A11" s="90" t="s">
        <v>89</v>
      </c>
      <c r="B11" s="97">
        <v>0.15</v>
      </c>
      <c r="C11" s="97">
        <v>0.15</v>
      </c>
      <c r="D11" s="104" t="s">
        <v>1</v>
      </c>
      <c r="E11" s="7" t="s">
        <v>260</v>
      </c>
      <c r="F11" t="s">
        <v>209</v>
      </c>
    </row>
    <row r="12" spans="1:6" ht="15.75">
      <c r="A12" s="90" t="s">
        <v>83</v>
      </c>
      <c r="B12" s="98">
        <v>1</v>
      </c>
      <c r="C12" s="98">
        <v>1</v>
      </c>
      <c r="D12" s="104" t="s">
        <v>2</v>
      </c>
      <c r="E12" s="7"/>
      <c r="F12" t="s">
        <v>210</v>
      </c>
    </row>
    <row r="13" spans="1:6" ht="12.75">
      <c r="A13" s="91" t="s">
        <v>62</v>
      </c>
      <c r="B13" s="98">
        <v>0.7</v>
      </c>
      <c r="C13" s="98">
        <v>0.7</v>
      </c>
      <c r="D13" s="104" t="s">
        <v>2</v>
      </c>
      <c r="E13" s="7" t="s">
        <v>212</v>
      </c>
      <c r="F13" t="s">
        <v>211</v>
      </c>
    </row>
    <row r="14" spans="1:6" ht="12.75">
      <c r="A14" s="91" t="s">
        <v>87</v>
      </c>
      <c r="B14" s="99">
        <v>0.36</v>
      </c>
      <c r="C14" s="102">
        <v>0.39</v>
      </c>
      <c r="D14" s="104" t="s">
        <v>88</v>
      </c>
      <c r="E14" s="7" t="s">
        <v>18</v>
      </c>
      <c r="F14" t="s">
        <v>213</v>
      </c>
    </row>
    <row r="15" spans="1:5" ht="13.5" thickBot="1">
      <c r="A15" s="91" t="s">
        <v>82</v>
      </c>
      <c r="B15" s="98">
        <v>0.6</v>
      </c>
      <c r="C15" s="98">
        <v>0.6</v>
      </c>
      <c r="D15" s="10"/>
      <c r="E15" s="10" t="s">
        <v>261</v>
      </c>
    </row>
    <row r="16" spans="1:5" ht="13.5" thickBot="1">
      <c r="A16" s="90"/>
      <c r="B16" s="99"/>
      <c r="C16" s="102"/>
      <c r="D16" s="10"/>
      <c r="E16" s="10"/>
    </row>
    <row r="17" spans="1:5" ht="13.5" thickBot="1">
      <c r="A17" s="92"/>
      <c r="B17" s="100">
        <f>21*0.00067*B9*B10*B11*B12*B14*B15*B13*365</f>
        <v>4223.697280120079</v>
      </c>
      <c r="C17" s="100">
        <f>21*0.00067*C9*C10*C11*C12*C13*C14*C15*365</f>
        <v>2145.53222360568</v>
      </c>
      <c r="D17" s="105"/>
      <c r="E17" s="10"/>
    </row>
    <row r="18" spans="1:5" ht="14.25">
      <c r="A18" s="83" t="s">
        <v>93</v>
      </c>
      <c r="B18" s="285">
        <f>ROUND(B17+C17,0)</f>
        <v>6369</v>
      </c>
      <c r="C18" s="84"/>
      <c r="D18" s="85"/>
      <c r="E18" s="86"/>
    </row>
    <row r="19" spans="1:5" ht="13.5" thickBot="1">
      <c r="A19" s="44" t="s">
        <v>94</v>
      </c>
      <c r="B19" s="72"/>
      <c r="C19" s="45"/>
      <c r="D19" s="45"/>
      <c r="E19" s="73"/>
    </row>
    <row r="21" ht="12.75">
      <c r="A21" s="110" t="s">
        <v>95</v>
      </c>
    </row>
    <row r="22" ht="15" thickBot="1">
      <c r="A22" s="77" t="s">
        <v>96</v>
      </c>
    </row>
    <row r="23" spans="1:5" ht="13.5" thickBot="1">
      <c r="A23" s="88" t="s">
        <v>4</v>
      </c>
      <c r="B23" s="93" t="s">
        <v>90</v>
      </c>
      <c r="C23" s="93"/>
      <c r="D23" s="93" t="s">
        <v>3</v>
      </c>
      <c r="E23" s="4" t="s">
        <v>5</v>
      </c>
    </row>
    <row r="24" spans="1:5" ht="12.75">
      <c r="A24" s="89"/>
      <c r="B24" s="94" t="s">
        <v>79</v>
      </c>
      <c r="C24" s="94" t="s">
        <v>80</v>
      </c>
      <c r="D24" s="94"/>
      <c r="E24" s="12"/>
    </row>
    <row r="25" spans="1:5" ht="15.75">
      <c r="A25" s="80" t="s">
        <v>99</v>
      </c>
      <c r="B25" s="106">
        <v>0</v>
      </c>
      <c r="C25" s="106">
        <v>0</v>
      </c>
      <c r="D25" s="103"/>
      <c r="E25" s="7" t="s">
        <v>40</v>
      </c>
    </row>
    <row r="26" spans="1:5" ht="12.75">
      <c r="A26" s="80"/>
      <c r="B26" s="106"/>
      <c r="C26" s="106"/>
      <c r="D26" s="103"/>
      <c r="E26" s="7" t="s">
        <v>39</v>
      </c>
    </row>
    <row r="27" spans="1:4" ht="12.75">
      <c r="A27" s="80" t="s">
        <v>101</v>
      </c>
      <c r="B27" s="106">
        <f>1.1*0.9/0.9</f>
        <v>1.1</v>
      </c>
      <c r="C27" s="312">
        <f>0.83*2.4/1.8</f>
        <v>1.1066666666666665</v>
      </c>
      <c r="D27" s="104"/>
    </row>
    <row r="28" spans="1:5" ht="13.5" thickBot="1">
      <c r="A28" s="80" t="s">
        <v>51</v>
      </c>
      <c r="B28" s="106">
        <f>0.9*0.9/0.9</f>
        <v>0.9</v>
      </c>
      <c r="C28" s="106">
        <v>1.8</v>
      </c>
      <c r="D28" s="104" t="s">
        <v>1</v>
      </c>
      <c r="E28" s="7" t="s">
        <v>18</v>
      </c>
    </row>
    <row r="29" spans="1:5" ht="13.5" thickBot="1">
      <c r="A29" s="107" t="s">
        <v>98</v>
      </c>
      <c r="B29" s="108">
        <v>0</v>
      </c>
      <c r="C29" s="108">
        <v>0</v>
      </c>
      <c r="D29" s="109"/>
      <c r="E29" s="41"/>
    </row>
    <row r="31" ht="12.75">
      <c r="A31" s="111" t="s">
        <v>102</v>
      </c>
    </row>
    <row r="32" ht="13.5" thickBot="1">
      <c r="A32" s="1" t="s">
        <v>104</v>
      </c>
    </row>
    <row r="33" spans="1:5" ht="13.5" thickBot="1">
      <c r="A33" s="88" t="s">
        <v>4</v>
      </c>
      <c r="B33" s="114" t="s">
        <v>90</v>
      </c>
      <c r="C33" s="93"/>
      <c r="D33" s="93" t="s">
        <v>3</v>
      </c>
      <c r="E33" s="4" t="s">
        <v>5</v>
      </c>
    </row>
    <row r="34" spans="1:5" ht="12.75">
      <c r="A34" s="89"/>
      <c r="B34" s="116" t="s">
        <v>79</v>
      </c>
      <c r="C34" s="115" t="s">
        <v>80</v>
      </c>
      <c r="D34" s="94"/>
      <c r="E34" s="12"/>
    </row>
    <row r="35" spans="1:6" ht="12.75">
      <c r="A35" s="91" t="s">
        <v>103</v>
      </c>
      <c r="B35" s="99">
        <v>0.3</v>
      </c>
      <c r="C35" s="87">
        <v>0.3</v>
      </c>
      <c r="D35" s="103"/>
      <c r="E35" s="271" t="s">
        <v>248</v>
      </c>
      <c r="F35" t="s">
        <v>214</v>
      </c>
    </row>
    <row r="36" spans="1:6" ht="12.75">
      <c r="A36" s="91" t="s">
        <v>215</v>
      </c>
      <c r="B36" s="117">
        <v>0.001</v>
      </c>
      <c r="C36" s="112">
        <v>0.001</v>
      </c>
      <c r="D36" s="103"/>
      <c r="E36" s="7" t="s">
        <v>216</v>
      </c>
      <c r="F36" t="s">
        <v>217</v>
      </c>
    </row>
    <row r="37" spans="1:5" ht="13.5" thickBot="1">
      <c r="A37" s="91" t="s">
        <v>106</v>
      </c>
      <c r="B37" s="118">
        <f>B9*365*B10*(1-B13)*B35/1000</f>
        <v>1191.236922</v>
      </c>
      <c r="C37" s="113">
        <f>C9*365*C10*(1-C13)*C35/1000</f>
        <v>558.570888</v>
      </c>
      <c r="D37" s="104" t="s">
        <v>105</v>
      </c>
      <c r="E37" s="7" t="s">
        <v>218</v>
      </c>
    </row>
    <row r="38" spans="1:5" ht="12.75">
      <c r="A38" s="120" t="s">
        <v>107</v>
      </c>
      <c r="B38" s="121">
        <f>21*0.67*B36*B14*B37</f>
        <v>6.0338532573144</v>
      </c>
      <c r="C38" s="122">
        <f>C14*21*0.67*C36*C37</f>
        <v>3.0650460337224</v>
      </c>
      <c r="D38" s="123" t="s">
        <v>75</v>
      </c>
      <c r="E38" s="43" t="s">
        <v>218</v>
      </c>
    </row>
    <row r="39" spans="1:5" ht="13.5" thickBot="1">
      <c r="A39" s="124"/>
      <c r="B39" s="286">
        <f>ROUND(B38+C38,0)</f>
        <v>9</v>
      </c>
      <c r="C39" s="125"/>
      <c r="D39" s="119"/>
      <c r="E39" s="73"/>
    </row>
    <row r="41" ht="12.75">
      <c r="A41" s="1" t="s">
        <v>108</v>
      </c>
    </row>
    <row r="42" ht="13.5" thickBot="1"/>
    <row r="43" spans="1:5" ht="13.5" thickBot="1">
      <c r="A43" s="88" t="s">
        <v>4</v>
      </c>
      <c r="B43" s="114" t="s">
        <v>90</v>
      </c>
      <c r="C43" s="93"/>
      <c r="D43" s="93" t="s">
        <v>3</v>
      </c>
      <c r="E43" s="4" t="s">
        <v>5</v>
      </c>
    </row>
    <row r="44" spans="1:5" ht="12.75">
      <c r="A44" s="89"/>
      <c r="B44" s="116" t="s">
        <v>79</v>
      </c>
      <c r="C44" s="115" t="s">
        <v>80</v>
      </c>
      <c r="D44" s="94"/>
      <c r="E44" s="12"/>
    </row>
    <row r="45" spans="1:5" ht="12.75">
      <c r="A45" s="128" t="s">
        <v>219</v>
      </c>
      <c r="B45" s="98">
        <v>0.3</v>
      </c>
      <c r="C45" s="81">
        <v>0.3</v>
      </c>
      <c r="D45" s="103"/>
      <c r="E45" s="271" t="s">
        <v>248</v>
      </c>
    </row>
    <row r="46" spans="1:5" ht="12.75">
      <c r="A46" s="128" t="s">
        <v>110</v>
      </c>
      <c r="B46" s="130">
        <f>B10*B27*B28/1000*365*B45/1000</f>
        <v>393.1081842600001</v>
      </c>
      <c r="C46" s="82">
        <f>C10*C27*C28/1000*365*C45/1000</f>
        <v>139.08415111199997</v>
      </c>
      <c r="D46" s="103" t="s">
        <v>105</v>
      </c>
      <c r="E46" s="7" t="s">
        <v>218</v>
      </c>
    </row>
    <row r="47" spans="1:5" ht="13.5" thickBot="1">
      <c r="A47" s="129" t="s">
        <v>109</v>
      </c>
      <c r="B47" s="131">
        <v>0.01</v>
      </c>
      <c r="C47" s="82">
        <v>0.01</v>
      </c>
      <c r="D47" s="104" t="s">
        <v>112</v>
      </c>
      <c r="E47" s="7" t="s">
        <v>220</v>
      </c>
    </row>
    <row r="48" spans="1:5" ht="13.5" thickBot="1">
      <c r="A48" s="31"/>
      <c r="B48" s="150"/>
      <c r="C48" s="82"/>
      <c r="D48" s="6"/>
      <c r="E48" s="7" t="s">
        <v>221</v>
      </c>
    </row>
    <row r="49" spans="1:5" ht="12.75">
      <c r="A49" s="126" t="s">
        <v>111</v>
      </c>
      <c r="B49" s="122">
        <f>310*44/28*B46*B47</f>
        <v>1914.998440466572</v>
      </c>
      <c r="C49" s="122">
        <f>310*44/28*C46*C47</f>
        <v>677.5385075598856</v>
      </c>
      <c r="D49" s="123" t="s">
        <v>75</v>
      </c>
      <c r="E49" s="71" t="s">
        <v>222</v>
      </c>
    </row>
    <row r="50" spans="1:5" ht="13.5" thickBot="1">
      <c r="A50" s="127"/>
      <c r="B50" s="287">
        <f>ROUND(B49+C49,0)</f>
        <v>2593</v>
      </c>
      <c r="C50" s="125"/>
      <c r="D50" s="119"/>
      <c r="E50" s="73"/>
    </row>
    <row r="52" ht="13.5" thickBot="1">
      <c r="A52" s="1" t="s">
        <v>114</v>
      </c>
    </row>
    <row r="53" spans="1:5" ht="13.5" thickBot="1">
      <c r="A53" s="88" t="s">
        <v>4</v>
      </c>
      <c r="B53" s="114" t="s">
        <v>90</v>
      </c>
      <c r="C53" s="93"/>
      <c r="D53" s="93" t="s">
        <v>3</v>
      </c>
      <c r="E53" s="4" t="s">
        <v>5</v>
      </c>
    </row>
    <row r="54" spans="1:5" ht="12.75">
      <c r="A54" s="89"/>
      <c r="B54" s="116" t="s">
        <v>79</v>
      </c>
      <c r="C54" s="115" t="s">
        <v>80</v>
      </c>
      <c r="D54" s="94"/>
      <c r="E54" s="12"/>
    </row>
    <row r="55" spans="1:6" ht="12.75">
      <c r="A55" s="128" t="s">
        <v>48</v>
      </c>
      <c r="B55" s="133">
        <v>0.4</v>
      </c>
      <c r="C55" s="134">
        <v>0.4</v>
      </c>
      <c r="D55" s="103"/>
      <c r="E55" s="7" t="s">
        <v>249</v>
      </c>
      <c r="F55" t="s">
        <v>223</v>
      </c>
    </row>
    <row r="56" spans="1:5" ht="12.75">
      <c r="A56" s="128" t="s">
        <v>110</v>
      </c>
      <c r="B56" s="130">
        <f>B46</f>
        <v>393.1081842600001</v>
      </c>
      <c r="C56" s="82">
        <f>C46</f>
        <v>139.08415111199997</v>
      </c>
      <c r="D56" s="103" t="s">
        <v>105</v>
      </c>
      <c r="E56" s="7" t="s">
        <v>208</v>
      </c>
    </row>
    <row r="57" spans="1:5" ht="13.5" thickBot="1">
      <c r="A57" s="129" t="s">
        <v>109</v>
      </c>
      <c r="B57" s="131">
        <v>0.01</v>
      </c>
      <c r="C57" s="82">
        <v>0.01</v>
      </c>
      <c r="D57" s="104" t="s">
        <v>224</v>
      </c>
      <c r="E57" s="7" t="s">
        <v>195</v>
      </c>
    </row>
    <row r="58" spans="1:5" ht="13.5" thickBot="1">
      <c r="A58" s="31"/>
      <c r="B58" s="150"/>
      <c r="C58" s="82"/>
      <c r="D58" s="6"/>
      <c r="E58" s="7" t="s">
        <v>47</v>
      </c>
    </row>
    <row r="59" spans="1:5" ht="12.75">
      <c r="A59" s="126" t="s">
        <v>111</v>
      </c>
      <c r="B59" s="288">
        <f>310*44/28*B55*B56*B57</f>
        <v>765.9993761866289</v>
      </c>
      <c r="C59" s="122">
        <f>310*44/28*C55*C56*C57</f>
        <v>271.01540302395426</v>
      </c>
      <c r="D59" s="123" t="s">
        <v>75</v>
      </c>
      <c r="E59" s="254" t="s">
        <v>208</v>
      </c>
    </row>
    <row r="60" spans="1:5" ht="13.5" thickBot="1">
      <c r="A60" s="127"/>
      <c r="B60" s="289">
        <f>B59+C59</f>
        <v>1037.0147792105831</v>
      </c>
      <c r="C60" s="125"/>
      <c r="D60" s="119"/>
      <c r="E60" s="73"/>
    </row>
    <row r="61" ht="12.75">
      <c r="B61" s="290">
        <f>ROUND(B60+B50,0)</f>
        <v>3630</v>
      </c>
    </row>
    <row r="62" spans="1:3" ht="13.5" thickBot="1">
      <c r="A62" s="1" t="s">
        <v>115</v>
      </c>
      <c r="C62" s="272"/>
    </row>
    <row r="63" spans="1:4" ht="14.25">
      <c r="A63" s="142" t="s">
        <v>116</v>
      </c>
      <c r="B63" s="136">
        <v>0</v>
      </c>
      <c r="C63" s="139">
        <v>0</v>
      </c>
      <c r="D63" s="87"/>
    </row>
    <row r="64" spans="1:4" ht="14.25">
      <c r="A64" s="143" t="s">
        <v>117</v>
      </c>
      <c r="B64" s="137">
        <v>0</v>
      </c>
      <c r="C64" s="140">
        <v>0</v>
      </c>
      <c r="D64" s="87"/>
    </row>
    <row r="65" spans="1:4" ht="15" thickBot="1">
      <c r="A65" s="144" t="s">
        <v>118</v>
      </c>
      <c r="B65" s="138">
        <v>0</v>
      </c>
      <c r="C65" s="141">
        <v>0</v>
      </c>
      <c r="D65" s="87"/>
    </row>
    <row r="67" spans="1:2" ht="13.5" thickBot="1">
      <c r="A67" s="145" t="s">
        <v>119</v>
      </c>
      <c r="B67" s="146"/>
    </row>
    <row r="68" spans="1:5" ht="13.5" thickBot="1">
      <c r="A68" s="88" t="s">
        <v>4</v>
      </c>
      <c r="B68" s="114" t="s">
        <v>120</v>
      </c>
      <c r="C68" s="93" t="s">
        <v>3</v>
      </c>
      <c r="D68" s="148" t="s">
        <v>5</v>
      </c>
      <c r="E68" s="11"/>
    </row>
    <row r="69" spans="1:5" ht="13.5" thickBot="1">
      <c r="A69" s="147" t="s">
        <v>121</v>
      </c>
      <c r="B69" s="116">
        <v>1.059</v>
      </c>
      <c r="C69" s="115" t="s">
        <v>122</v>
      </c>
      <c r="D69" s="149" t="s">
        <v>133</v>
      </c>
      <c r="E69" s="11"/>
    </row>
    <row r="70" spans="1:5" ht="13.5" thickBot="1">
      <c r="A70" s="91" t="s">
        <v>123</v>
      </c>
      <c r="B70" s="116">
        <f>'BASELINE EMISSION'!B61</f>
        <v>0.9826</v>
      </c>
      <c r="C70" s="115" t="s">
        <v>124</v>
      </c>
      <c r="D70" s="149"/>
      <c r="E70" s="13"/>
    </row>
    <row r="71" spans="1:5" ht="13.5" thickBot="1">
      <c r="A71" s="151" t="s">
        <v>125</v>
      </c>
      <c r="B71" s="291">
        <f>ROUND(B69*B70*1000,0)</f>
        <v>1041</v>
      </c>
      <c r="C71" s="152" t="s">
        <v>75</v>
      </c>
      <c r="D71" s="153"/>
      <c r="E71" s="13"/>
    </row>
    <row r="72" spans="1:5" ht="12.75">
      <c r="A72" s="31"/>
      <c r="B72" s="150"/>
      <c r="C72" s="150"/>
      <c r="D72" s="6"/>
      <c r="E72" s="13"/>
    </row>
    <row r="75" spans="1:5" ht="12.75">
      <c r="A75" s="74" t="s">
        <v>126</v>
      </c>
      <c r="B75" s="283">
        <f>ROUND(B18+B39+B50+B60+B71,0)</f>
        <v>11049</v>
      </c>
      <c r="C75" s="13"/>
      <c r="D75" s="13"/>
      <c r="E75" s="13"/>
    </row>
    <row r="77" spans="1:4" ht="12.75">
      <c r="A77" s="306" t="s">
        <v>258</v>
      </c>
      <c r="B77" s="306" t="s">
        <v>255</v>
      </c>
      <c r="C77" s="306" t="s">
        <v>256</v>
      </c>
      <c r="D77" s="306" t="s">
        <v>257</v>
      </c>
    </row>
    <row r="78" spans="1:4" ht="12.75">
      <c r="A78" s="305">
        <f>B78+C78+D78</f>
        <v>11049.014779210584</v>
      </c>
      <c r="B78" s="305">
        <f>B18+B39</f>
        <v>6378</v>
      </c>
      <c r="C78" s="305">
        <f>B50+B60</f>
        <v>3630.014779210583</v>
      </c>
      <c r="D78" s="305">
        <f>B71</f>
        <v>1041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6070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6"/>
  <sheetViews>
    <sheetView tabSelected="1" workbookViewId="0" topLeftCell="A112">
      <selection activeCell="D134" sqref="D134"/>
    </sheetView>
  </sheetViews>
  <sheetFormatPr defaultColWidth="9.140625" defaultRowHeight="12.75"/>
  <cols>
    <col min="1" max="1" width="42.7109375" style="0" customWidth="1"/>
    <col min="2" max="2" width="19.140625" style="0" customWidth="1"/>
    <col min="3" max="3" width="17.57421875" style="0" customWidth="1"/>
    <col min="4" max="4" width="20.421875" style="0" customWidth="1"/>
    <col min="5" max="5" width="44.00390625" style="0" customWidth="1"/>
    <col min="6" max="6" width="38.8515625" style="0" bestFit="1" customWidth="1"/>
  </cols>
  <sheetData>
    <row r="1" ht="12.75">
      <c r="A1" s="1" t="s">
        <v>127</v>
      </c>
    </row>
    <row r="2" ht="12.75">
      <c r="A2" s="1" t="s">
        <v>129</v>
      </c>
    </row>
    <row r="3" ht="13.5" thickBot="1">
      <c r="A3" s="1" t="s">
        <v>143</v>
      </c>
    </row>
    <row r="4" spans="1:5" ht="13.5" thickBot="1">
      <c r="A4" s="88" t="s">
        <v>4</v>
      </c>
      <c r="B4" s="93" t="s">
        <v>90</v>
      </c>
      <c r="C4" s="93"/>
      <c r="D4" s="93" t="s">
        <v>3</v>
      </c>
      <c r="E4" s="4" t="s">
        <v>5</v>
      </c>
    </row>
    <row r="5" spans="1:5" ht="12.75">
      <c r="A5" s="89"/>
      <c r="B5" s="94" t="s">
        <v>79</v>
      </c>
      <c r="C5" s="94" t="s">
        <v>80</v>
      </c>
      <c r="D5" s="94"/>
      <c r="E5" s="12"/>
    </row>
    <row r="6" spans="1:5" ht="12.75">
      <c r="A6" s="90" t="s">
        <v>84</v>
      </c>
      <c r="B6" s="95">
        <v>0.01</v>
      </c>
      <c r="C6" s="311">
        <f>0.02*2.4/1.8</f>
        <v>0.026666666666666665</v>
      </c>
      <c r="D6" s="103" t="s">
        <v>85</v>
      </c>
      <c r="E6" s="22" t="s">
        <v>18</v>
      </c>
    </row>
    <row r="7" spans="1:5" ht="15.75">
      <c r="A7" s="90" t="s">
        <v>81</v>
      </c>
      <c r="B7" s="155">
        <f>'BASELINE EMISSION'!B15</f>
        <v>3626292</v>
      </c>
      <c r="C7" s="155">
        <f>'BASELINE EMISSION'!C15</f>
        <v>637638</v>
      </c>
      <c r="D7" s="104" t="s">
        <v>86</v>
      </c>
      <c r="E7" s="7" t="s">
        <v>133</v>
      </c>
    </row>
    <row r="8" spans="1:5" ht="12.75">
      <c r="A8" s="91" t="s">
        <v>128</v>
      </c>
      <c r="B8" s="154">
        <v>1</v>
      </c>
      <c r="C8" s="96">
        <v>1</v>
      </c>
      <c r="D8" s="104"/>
      <c r="E8" s="7" t="s">
        <v>18</v>
      </c>
    </row>
    <row r="9" spans="1:5" ht="12.75">
      <c r="A9" s="91" t="s">
        <v>87</v>
      </c>
      <c r="B9" s="99">
        <v>0.36</v>
      </c>
      <c r="C9" s="102">
        <v>0.39</v>
      </c>
      <c r="D9" s="104" t="s">
        <v>88</v>
      </c>
      <c r="E9" s="7" t="s">
        <v>18</v>
      </c>
    </row>
    <row r="10" spans="1:5" ht="12.75">
      <c r="A10" s="91" t="s">
        <v>130</v>
      </c>
      <c r="B10" s="98">
        <v>0.7</v>
      </c>
      <c r="C10" s="98">
        <v>0.7</v>
      </c>
      <c r="D10" s="104"/>
      <c r="E10" s="7" t="s">
        <v>225</v>
      </c>
    </row>
    <row r="11" spans="1:5" ht="12.75">
      <c r="A11" s="83" t="s">
        <v>93</v>
      </c>
      <c r="B11" s="156">
        <f>21*0.00067*365*B6*B7*B9*(1-B10)</f>
        <v>20112.844191048003</v>
      </c>
      <c r="C11" s="156">
        <f>21*0.00067*365*C6*C7*C9*(1-C10)</f>
        <v>10216.820112408002</v>
      </c>
      <c r="D11" s="85"/>
      <c r="E11" s="86" t="s">
        <v>208</v>
      </c>
    </row>
    <row r="12" spans="1:5" ht="13.5" thickBot="1">
      <c r="A12" s="44" t="s">
        <v>131</v>
      </c>
      <c r="B12" s="72">
        <f>ROUND(B11+C11,0)</f>
        <v>30330</v>
      </c>
      <c r="C12" s="45"/>
      <c r="D12" s="45"/>
      <c r="E12" s="73"/>
    </row>
    <row r="14" ht="13.5" thickBot="1">
      <c r="A14" s="110" t="s">
        <v>245</v>
      </c>
    </row>
    <row r="15" spans="1:5" ht="13.5" thickBot="1">
      <c r="A15" s="88" t="s">
        <v>4</v>
      </c>
      <c r="B15" s="93" t="s">
        <v>90</v>
      </c>
      <c r="C15" s="93"/>
      <c r="D15" s="114" t="s">
        <v>3</v>
      </c>
      <c r="E15" s="93" t="s">
        <v>5</v>
      </c>
    </row>
    <row r="16" spans="1:5" ht="12.75">
      <c r="A16" s="89"/>
      <c r="B16" s="94" t="s">
        <v>79</v>
      </c>
      <c r="C16" s="116" t="s">
        <v>80</v>
      </c>
      <c r="D16" s="115"/>
      <c r="E16" s="94"/>
    </row>
    <row r="17" spans="1:5" ht="15.75">
      <c r="A17" s="161" t="s">
        <v>81</v>
      </c>
      <c r="B17" s="96">
        <f>B7</f>
        <v>3626292</v>
      </c>
      <c r="C17" s="96">
        <f>C7</f>
        <v>637638</v>
      </c>
      <c r="D17" s="158" t="s">
        <v>86</v>
      </c>
      <c r="E17" s="159" t="s">
        <v>133</v>
      </c>
    </row>
    <row r="18" spans="1:5" ht="12.75">
      <c r="A18" s="161" t="s">
        <v>134</v>
      </c>
      <c r="B18" s="313">
        <v>1.1</v>
      </c>
      <c r="C18" s="313">
        <f>0.83*2.4/1.8</f>
        <v>1.1066666666666665</v>
      </c>
      <c r="D18" s="158" t="s">
        <v>132</v>
      </c>
      <c r="E18" s="22" t="s">
        <v>18</v>
      </c>
    </row>
    <row r="19" spans="1:5" ht="12.75">
      <c r="A19" s="161" t="s">
        <v>51</v>
      </c>
      <c r="B19" s="163">
        <v>0.9</v>
      </c>
      <c r="C19" s="163">
        <v>1.8</v>
      </c>
      <c r="D19" s="158" t="s">
        <v>9</v>
      </c>
      <c r="E19" s="22" t="s">
        <v>18</v>
      </c>
    </row>
    <row r="20" spans="1:5" ht="12.75">
      <c r="A20" s="161" t="s">
        <v>65</v>
      </c>
      <c r="B20" s="167">
        <f>B17*B18*B19/1000*365</f>
        <v>1310360.6142000002</v>
      </c>
      <c r="C20" s="167">
        <f>C17*C18*C19/1000*365</f>
        <v>463613.8370399999</v>
      </c>
      <c r="D20" s="158" t="s">
        <v>135</v>
      </c>
      <c r="E20" s="164" t="s">
        <v>208</v>
      </c>
    </row>
    <row r="21" spans="1:6" ht="12.75">
      <c r="A21" s="161" t="s">
        <v>137</v>
      </c>
      <c r="B21" s="163">
        <v>0.4</v>
      </c>
      <c r="C21" s="163">
        <v>0.4</v>
      </c>
      <c r="D21" s="158" t="s">
        <v>1</v>
      </c>
      <c r="E21" s="164" t="s">
        <v>225</v>
      </c>
      <c r="F21" s="189" t="s">
        <v>226</v>
      </c>
    </row>
    <row r="22" spans="1:6" ht="12.75">
      <c r="A22" s="161" t="s">
        <v>66</v>
      </c>
      <c r="B22" s="163">
        <v>0.01</v>
      </c>
      <c r="C22" s="163">
        <v>0.01</v>
      </c>
      <c r="D22" s="165" t="s">
        <v>112</v>
      </c>
      <c r="E22" s="164" t="s">
        <v>228</v>
      </c>
      <c r="F22" t="s">
        <v>227</v>
      </c>
    </row>
    <row r="23" spans="1:5" ht="12.75">
      <c r="A23" s="161"/>
      <c r="B23" s="163"/>
      <c r="C23" s="163"/>
      <c r="D23" s="165"/>
      <c r="E23" s="164" t="s">
        <v>229</v>
      </c>
    </row>
    <row r="24" spans="1:5" ht="12.75">
      <c r="A24" s="161" t="s">
        <v>67</v>
      </c>
      <c r="B24" s="163">
        <v>0.0075</v>
      </c>
      <c r="C24" s="163">
        <v>0.0075</v>
      </c>
      <c r="D24" s="165" t="s">
        <v>112</v>
      </c>
      <c r="E24" s="164" t="s">
        <v>230</v>
      </c>
    </row>
    <row r="25" spans="1:6" ht="12.75">
      <c r="A25" s="161" t="s">
        <v>64</v>
      </c>
      <c r="B25" s="163">
        <v>0.01</v>
      </c>
      <c r="C25" s="163">
        <v>0.01</v>
      </c>
      <c r="D25" s="165" t="s">
        <v>112</v>
      </c>
      <c r="E25" s="164" t="s">
        <v>230</v>
      </c>
      <c r="F25" s="189" t="s">
        <v>231</v>
      </c>
    </row>
    <row r="26" spans="1:5" ht="12.75">
      <c r="A26" s="161" t="s">
        <v>68</v>
      </c>
      <c r="B26" s="163">
        <v>0</v>
      </c>
      <c r="C26" s="163">
        <v>0</v>
      </c>
      <c r="D26" s="165"/>
      <c r="E26" s="164" t="s">
        <v>230</v>
      </c>
    </row>
    <row r="27" spans="1:6" ht="12.75">
      <c r="A27" s="161" t="s">
        <v>48</v>
      </c>
      <c r="B27" s="163">
        <v>0.2</v>
      </c>
      <c r="C27" s="163">
        <v>0.2</v>
      </c>
      <c r="D27" s="165" t="s">
        <v>233</v>
      </c>
      <c r="E27" s="164" t="s">
        <v>230</v>
      </c>
      <c r="F27" t="s">
        <v>232</v>
      </c>
    </row>
    <row r="28" spans="1:5" ht="12.75">
      <c r="A28" s="161"/>
      <c r="B28" s="163"/>
      <c r="C28" s="163"/>
      <c r="D28" s="165"/>
      <c r="E28" s="164"/>
    </row>
    <row r="29" spans="1:5" ht="12.75">
      <c r="A29" s="171" t="s">
        <v>141</v>
      </c>
      <c r="B29" s="172">
        <f>B22*(1-B21)*(1-B27)*B20/1000*310*44/28</f>
        <v>3063.997504746515</v>
      </c>
      <c r="C29" s="173">
        <f>C20*(1-C21)*(1-C27)*C22*310*44/28/1000</f>
        <v>1084.0616120958168</v>
      </c>
      <c r="D29" s="165" t="s">
        <v>250</v>
      </c>
      <c r="E29" s="164" t="s">
        <v>218</v>
      </c>
    </row>
    <row r="30" spans="1:6" ht="12.75">
      <c r="A30" s="169" t="s">
        <v>138</v>
      </c>
      <c r="B30" s="163">
        <v>0</v>
      </c>
      <c r="C30" s="163">
        <v>0</v>
      </c>
      <c r="D30" s="165"/>
      <c r="E30" s="164" t="s">
        <v>218</v>
      </c>
      <c r="F30" s="268" t="s">
        <v>244</v>
      </c>
    </row>
    <row r="31" spans="1:5" ht="12.75">
      <c r="A31" s="169" t="s">
        <v>139</v>
      </c>
      <c r="B31" s="168">
        <f>B25*B27*(1-B21)*B20*310*44/28/1000</f>
        <v>765.9993761866288</v>
      </c>
      <c r="C31" s="174">
        <f>C20*C25*C27*(1-C21)*310*44/28/1000</f>
        <v>271.0154030239542</v>
      </c>
      <c r="D31" s="165"/>
      <c r="E31" s="164" t="s">
        <v>218</v>
      </c>
    </row>
    <row r="32" spans="1:5" ht="12.75">
      <c r="A32" s="175" t="s">
        <v>140</v>
      </c>
      <c r="B32" s="181">
        <f>B29+B31</f>
        <v>3829.996880933144</v>
      </c>
      <c r="C32" s="181">
        <f>C29+C31</f>
        <v>1355.077015119771</v>
      </c>
      <c r="D32" s="176"/>
      <c r="E32" s="177" t="s">
        <v>218</v>
      </c>
    </row>
    <row r="33" spans="1:5" ht="12.75">
      <c r="A33" s="178"/>
      <c r="B33" s="292">
        <f>ROUND(B32+C32,0)</f>
        <v>5185</v>
      </c>
      <c r="C33" s="182"/>
      <c r="D33" s="179"/>
      <c r="E33" s="180"/>
    </row>
    <row r="35" ht="12.75">
      <c r="A35" s="1" t="s">
        <v>142</v>
      </c>
    </row>
    <row r="36" ht="12.75">
      <c r="A36" s="1" t="s">
        <v>144</v>
      </c>
    </row>
    <row r="37" ht="13.5" thickBot="1">
      <c r="A37" s="1" t="s">
        <v>155</v>
      </c>
    </row>
    <row r="38" spans="1:5" ht="13.5" thickBot="1">
      <c r="A38" s="88" t="s">
        <v>4</v>
      </c>
      <c r="B38" s="93" t="s">
        <v>90</v>
      </c>
      <c r="C38" s="93"/>
      <c r="D38" s="114" t="s">
        <v>3</v>
      </c>
      <c r="E38" s="93" t="s">
        <v>5</v>
      </c>
    </row>
    <row r="39" spans="1:5" ht="12.75">
      <c r="A39" s="89"/>
      <c r="B39" s="94" t="s">
        <v>79</v>
      </c>
      <c r="C39" s="116" t="s">
        <v>80</v>
      </c>
      <c r="D39" s="115"/>
      <c r="E39" s="94"/>
    </row>
    <row r="40" spans="1:5" ht="15.75">
      <c r="A40" s="161" t="s">
        <v>81</v>
      </c>
      <c r="B40" s="96">
        <f>B7</f>
        <v>3626292</v>
      </c>
      <c r="C40" s="96">
        <f>C7</f>
        <v>637638</v>
      </c>
      <c r="D40" s="191" t="s">
        <v>86</v>
      </c>
      <c r="E40" s="190" t="s">
        <v>133</v>
      </c>
    </row>
    <row r="41" spans="1:5" ht="12.75">
      <c r="A41" s="161" t="s">
        <v>134</v>
      </c>
      <c r="B41" s="163">
        <v>1.1</v>
      </c>
      <c r="C41" s="313">
        <f>0.83*2.4/1.8</f>
        <v>1.1066666666666665</v>
      </c>
      <c r="D41" s="191" t="s">
        <v>132</v>
      </c>
      <c r="E41" s="165"/>
    </row>
    <row r="42" spans="1:5" ht="12.75">
      <c r="A42" s="161" t="s">
        <v>51</v>
      </c>
      <c r="B42" s="163">
        <v>0.9</v>
      </c>
      <c r="C42" s="163">
        <v>1.8</v>
      </c>
      <c r="D42" s="191" t="s">
        <v>9</v>
      </c>
      <c r="E42" s="165"/>
    </row>
    <row r="43" spans="1:5" ht="12.75">
      <c r="A43" s="161" t="s">
        <v>152</v>
      </c>
      <c r="B43" s="163">
        <v>0.3</v>
      </c>
      <c r="C43" s="163">
        <v>0.3</v>
      </c>
      <c r="D43" s="191"/>
      <c r="E43" s="165"/>
    </row>
    <row r="44" spans="1:6" ht="12.75">
      <c r="A44" s="161" t="s">
        <v>48</v>
      </c>
      <c r="B44" s="163">
        <v>0.4</v>
      </c>
      <c r="C44" s="163">
        <v>0.4</v>
      </c>
      <c r="D44" s="191"/>
      <c r="E44" s="165"/>
      <c r="F44" t="s">
        <v>147</v>
      </c>
    </row>
    <row r="45" spans="1:6" ht="12.75">
      <c r="A45" s="161" t="s">
        <v>145</v>
      </c>
      <c r="B45" s="163">
        <v>0.2</v>
      </c>
      <c r="C45" s="163">
        <v>0.2</v>
      </c>
      <c r="D45" s="191"/>
      <c r="E45" s="164" t="s">
        <v>230</v>
      </c>
      <c r="F45" t="s">
        <v>146</v>
      </c>
    </row>
    <row r="46" spans="1:5" ht="12.75">
      <c r="A46" s="161" t="s">
        <v>151</v>
      </c>
      <c r="B46" s="167">
        <f>B40*B41*B42/1000*365*B43*(1-B44)*(1-B45)</f>
        <v>188691.92844480003</v>
      </c>
      <c r="C46" s="167">
        <f>C40*C41*C42/1000*365*C43*(1-C44)*(1-C45)</f>
        <v>66760.39253375998</v>
      </c>
      <c r="D46" s="191" t="s">
        <v>135</v>
      </c>
      <c r="E46" s="165" t="s">
        <v>208</v>
      </c>
    </row>
    <row r="47" spans="1:5" ht="12.75">
      <c r="A47" s="189" t="s">
        <v>66</v>
      </c>
      <c r="B47" s="163">
        <v>0.01</v>
      </c>
      <c r="C47" s="163">
        <v>0.01</v>
      </c>
      <c r="D47" s="165" t="s">
        <v>112</v>
      </c>
      <c r="E47" s="188"/>
    </row>
    <row r="48" spans="1:5" ht="12.75">
      <c r="A48" s="189" t="s">
        <v>64</v>
      </c>
      <c r="B48" s="163">
        <v>0.01</v>
      </c>
      <c r="C48" s="163">
        <v>0.01</v>
      </c>
      <c r="D48" s="165" t="s">
        <v>112</v>
      </c>
      <c r="E48" s="188"/>
    </row>
    <row r="49" spans="1:5" ht="13.5" thickBot="1">
      <c r="A49" s="189" t="s">
        <v>148</v>
      </c>
      <c r="B49" s="170">
        <f>B40*B41*B42/1000*365*B43*(1-B44)*B45</f>
        <v>47172.982111200006</v>
      </c>
      <c r="C49" s="170">
        <f>C40*C42*C41/1000*365*C43*(1-C44)*C45</f>
        <v>16690.09813344</v>
      </c>
      <c r="D49" s="191" t="s">
        <v>9</v>
      </c>
      <c r="E49" s="188" t="s">
        <v>208</v>
      </c>
    </row>
    <row r="50" spans="1:5" ht="12.75">
      <c r="A50" s="192" t="s">
        <v>149</v>
      </c>
      <c r="B50" s="193">
        <f>310*44/28*B49*B48/1000</f>
        <v>229.79981285598862</v>
      </c>
      <c r="C50" s="193">
        <f>C49*C48*310*44/28/1000</f>
        <v>81.30462090718628</v>
      </c>
      <c r="D50" s="194"/>
      <c r="E50" s="71" t="s">
        <v>208</v>
      </c>
    </row>
    <row r="51" spans="1:5" ht="13.5" thickBot="1">
      <c r="A51" s="184"/>
      <c r="B51" s="293">
        <f>ROUND(B50+C50,0)</f>
        <v>311</v>
      </c>
      <c r="C51" s="195"/>
      <c r="D51" s="196"/>
      <c r="E51" s="197"/>
    </row>
    <row r="52" spans="1:5" ht="13.5" thickBot="1">
      <c r="A52" s="186"/>
      <c r="B52" s="187"/>
      <c r="C52" s="187"/>
      <c r="D52" s="165"/>
      <c r="E52" s="183"/>
    </row>
    <row r="53" spans="1:5" ht="12.75">
      <c r="A53" s="192" t="s">
        <v>150</v>
      </c>
      <c r="B53" s="193">
        <f>B46*B47*310*44/28/1000</f>
        <v>919.1992514239544</v>
      </c>
      <c r="C53" s="193">
        <f>C46*C47*310*44/28/1000</f>
        <v>325.21848362874505</v>
      </c>
      <c r="D53" s="202"/>
      <c r="E53" s="203" t="s">
        <v>208</v>
      </c>
    </row>
    <row r="54" spans="1:5" ht="13.5" thickBot="1">
      <c r="A54" s="198"/>
      <c r="B54" s="294">
        <f>ROUND(B53+C53,0)</f>
        <v>1244</v>
      </c>
      <c r="C54" s="199"/>
      <c r="D54" s="200"/>
      <c r="E54" s="201"/>
    </row>
    <row r="56" spans="1:5" ht="12.75">
      <c r="A56" s="204" t="s">
        <v>153</v>
      </c>
      <c r="B56" s="276">
        <f>B54+B51</f>
        <v>1555</v>
      </c>
      <c r="C56" s="205"/>
      <c r="D56" s="205"/>
      <c r="E56" s="205" t="str">
        <f>+D66</f>
        <v>kg/yr</v>
      </c>
    </row>
    <row r="58" ht="12.75">
      <c r="A58" s="1" t="s">
        <v>154</v>
      </c>
    </row>
    <row r="59" ht="13.5" thickBot="1">
      <c r="A59" s="1" t="s">
        <v>162</v>
      </c>
    </row>
    <row r="60" spans="1:5" ht="13.5" thickBot="1">
      <c r="A60" s="88" t="s">
        <v>4</v>
      </c>
      <c r="B60" s="93" t="s">
        <v>90</v>
      </c>
      <c r="C60" s="93"/>
      <c r="D60" s="114" t="s">
        <v>3</v>
      </c>
      <c r="E60" s="148" t="s">
        <v>5</v>
      </c>
    </row>
    <row r="61" spans="1:5" ht="12.75">
      <c r="A61" s="209"/>
      <c r="B61" s="116" t="s">
        <v>79</v>
      </c>
      <c r="C61" s="116" t="s">
        <v>80</v>
      </c>
      <c r="D61" s="116"/>
      <c r="E61" s="115"/>
    </row>
    <row r="62" spans="1:5" ht="15.75">
      <c r="A62" s="189" t="s">
        <v>81</v>
      </c>
      <c r="B62" s="277">
        <f>B7</f>
        <v>3626292</v>
      </c>
      <c r="C62" s="277">
        <f>C7</f>
        <v>637638</v>
      </c>
      <c r="D62" s="255" t="s">
        <v>86</v>
      </c>
      <c r="E62" s="187" t="s">
        <v>133</v>
      </c>
    </row>
    <row r="63" spans="1:5" ht="12.75">
      <c r="A63" s="189" t="s">
        <v>158</v>
      </c>
      <c r="B63" s="210">
        <v>1.1</v>
      </c>
      <c r="C63" s="313">
        <f>0.83*2.4/1.8</f>
        <v>1.1066666666666665</v>
      </c>
      <c r="D63" s="191" t="s">
        <v>132</v>
      </c>
      <c r="E63" s="22" t="s">
        <v>18</v>
      </c>
    </row>
    <row r="64" spans="1:5" ht="12.75">
      <c r="A64" s="189" t="s">
        <v>51</v>
      </c>
      <c r="B64" s="210">
        <v>0.9</v>
      </c>
      <c r="C64" s="210">
        <v>1.8</v>
      </c>
      <c r="D64" s="255" t="s">
        <v>199</v>
      </c>
      <c r="E64" s="22" t="s">
        <v>18</v>
      </c>
    </row>
    <row r="65" spans="1:5" ht="12.75">
      <c r="A65" s="189" t="s">
        <v>156</v>
      </c>
      <c r="B65" s="210">
        <v>0.7</v>
      </c>
      <c r="C65" s="210">
        <v>0.7</v>
      </c>
      <c r="D65" s="187"/>
      <c r="E65" s="187"/>
    </row>
    <row r="66" spans="1:5" ht="12.75">
      <c r="A66" s="189" t="s">
        <v>157</v>
      </c>
      <c r="B66" s="132">
        <f>B62*B63*B64/1000*365*B65</f>
        <v>917252.4299400001</v>
      </c>
      <c r="C66" s="132">
        <f>C62*C63*C64/1000*365*C65</f>
        <v>324529.6859279999</v>
      </c>
      <c r="D66" s="191" t="s">
        <v>135</v>
      </c>
      <c r="E66" s="187" t="s">
        <v>208</v>
      </c>
    </row>
    <row r="67" spans="1:6" ht="12.75">
      <c r="A67" s="189" t="s">
        <v>159</v>
      </c>
      <c r="B67" s="162">
        <v>0.4</v>
      </c>
      <c r="C67" s="162">
        <v>0.4</v>
      </c>
      <c r="D67" s="187"/>
      <c r="E67" s="187"/>
      <c r="F67" t="s">
        <v>234</v>
      </c>
    </row>
    <row r="68" spans="1:6" ht="13.5" thickBot="1">
      <c r="A68" s="161" t="s">
        <v>160</v>
      </c>
      <c r="B68" s="162">
        <v>0.005</v>
      </c>
      <c r="C68" s="162">
        <v>0.005</v>
      </c>
      <c r="D68" s="165" t="s">
        <v>112</v>
      </c>
      <c r="E68" s="187"/>
      <c r="F68" t="s">
        <v>235</v>
      </c>
    </row>
    <row r="69" spans="1:5" ht="13.5" thickBot="1">
      <c r="A69" s="219" t="s">
        <v>161</v>
      </c>
      <c r="B69" s="220">
        <f>B68*B66*(1-B67)*310*44/28/1000</f>
        <v>1340.4989083266</v>
      </c>
      <c r="C69" s="221">
        <f>C68*C66*(1-C67)*310*44/28/1000</f>
        <v>474.2769552919198</v>
      </c>
      <c r="D69" s="222" t="s">
        <v>75</v>
      </c>
      <c r="E69" s="218" t="s">
        <v>208</v>
      </c>
    </row>
    <row r="70" spans="1:5" ht="13.5" thickBot="1">
      <c r="A70" s="212"/>
      <c r="B70" s="295">
        <f>ROUND(B69+C69,0)</f>
        <v>1815</v>
      </c>
      <c r="C70" s="213"/>
      <c r="D70" s="207"/>
      <c r="E70" s="73"/>
    </row>
    <row r="72" ht="13.5" thickBot="1">
      <c r="A72" s="1" t="s">
        <v>163</v>
      </c>
    </row>
    <row r="73" spans="1:5" ht="13.5" thickBot="1">
      <c r="A73" s="88" t="s">
        <v>4</v>
      </c>
      <c r="B73" s="114" t="s">
        <v>90</v>
      </c>
      <c r="C73" s="116"/>
      <c r="D73" s="209" t="s">
        <v>3</v>
      </c>
      <c r="E73" s="211" t="s">
        <v>5</v>
      </c>
    </row>
    <row r="74" spans="1:5" ht="12.75">
      <c r="A74" s="89"/>
      <c r="B74" s="116" t="s">
        <v>79</v>
      </c>
      <c r="C74" s="214" t="s">
        <v>80</v>
      </c>
      <c r="D74" s="214"/>
      <c r="E74" s="224"/>
    </row>
    <row r="75" spans="1:5" ht="12.75">
      <c r="A75" s="161" t="s">
        <v>164</v>
      </c>
      <c r="B75" s="223">
        <v>0.4</v>
      </c>
      <c r="C75" s="223">
        <v>0.4</v>
      </c>
      <c r="D75" s="187"/>
      <c r="E75" s="208"/>
    </row>
    <row r="76" spans="1:5" ht="13.5" thickBot="1">
      <c r="A76" s="161" t="s">
        <v>64</v>
      </c>
      <c r="B76" s="163">
        <v>0.01</v>
      </c>
      <c r="C76" s="163">
        <v>0.01</v>
      </c>
      <c r="D76" s="158" t="s">
        <v>112</v>
      </c>
      <c r="E76" s="208"/>
    </row>
    <row r="77" spans="1:5" ht="12.75">
      <c r="A77" s="227" t="s">
        <v>165</v>
      </c>
      <c r="B77" s="228">
        <f>B66*B75*B76*310*44/28/1000</f>
        <v>1787.3318777688003</v>
      </c>
      <c r="C77" s="228">
        <f>C76*C75*C66*310*44/28/1000</f>
        <v>632.3692737225599</v>
      </c>
      <c r="D77" s="256" t="s">
        <v>75</v>
      </c>
      <c r="E77" s="257" t="s">
        <v>208</v>
      </c>
    </row>
    <row r="78" spans="1:5" ht="13.5" thickBot="1">
      <c r="A78" s="206"/>
      <c r="B78" s="296">
        <f>ROUND(B77+C77,0)</f>
        <v>2420</v>
      </c>
      <c r="C78" s="185"/>
      <c r="D78" s="195"/>
      <c r="E78" s="226"/>
    </row>
    <row r="80" ht="13.5" thickBot="1">
      <c r="A80" s="1" t="s">
        <v>166</v>
      </c>
    </row>
    <row r="81" spans="1:5" ht="13.5" thickBot="1">
      <c r="A81" s="88" t="s">
        <v>4</v>
      </c>
      <c r="B81" s="93" t="s">
        <v>90</v>
      </c>
      <c r="C81" s="93"/>
      <c r="D81" s="114" t="s">
        <v>3</v>
      </c>
      <c r="E81" s="148" t="s">
        <v>5</v>
      </c>
    </row>
    <row r="82" spans="1:5" ht="12.75">
      <c r="A82" s="215"/>
      <c r="B82" s="209" t="s">
        <v>79</v>
      </c>
      <c r="C82" s="116" t="s">
        <v>80</v>
      </c>
      <c r="D82" s="209"/>
      <c r="E82" s="209"/>
    </row>
    <row r="83" spans="1:5" ht="15.75">
      <c r="A83" s="161" t="s">
        <v>81</v>
      </c>
      <c r="B83" s="278">
        <f>B7</f>
        <v>3626292</v>
      </c>
      <c r="C83" s="278">
        <f>C7</f>
        <v>637638</v>
      </c>
      <c r="D83" s="217"/>
      <c r="E83" s="217"/>
    </row>
    <row r="84" spans="1:5" ht="12.75">
      <c r="A84" s="161" t="s">
        <v>49</v>
      </c>
      <c r="B84" s="189">
        <v>1.1</v>
      </c>
      <c r="C84" s="313">
        <f>0.83*2.4/1.8</f>
        <v>1.1066666666666665</v>
      </c>
      <c r="D84" s="217"/>
      <c r="E84" s="217"/>
    </row>
    <row r="85" spans="1:5" ht="12.75">
      <c r="A85" s="161" t="s">
        <v>51</v>
      </c>
      <c r="B85" s="189">
        <v>0.9</v>
      </c>
      <c r="C85" s="189">
        <v>1.8</v>
      </c>
      <c r="D85" s="217"/>
      <c r="E85" s="217"/>
    </row>
    <row r="86" spans="1:5" ht="12.75">
      <c r="A86" s="161" t="s">
        <v>156</v>
      </c>
      <c r="B86" s="189">
        <v>0.7</v>
      </c>
      <c r="C86" s="189">
        <v>0.7</v>
      </c>
      <c r="D86" s="217"/>
      <c r="E86" s="217"/>
    </row>
    <row r="87" spans="1:5" ht="12.75">
      <c r="A87" s="161" t="s">
        <v>164</v>
      </c>
      <c r="B87" s="189">
        <v>0.4</v>
      </c>
      <c r="C87" s="189">
        <v>0.4</v>
      </c>
      <c r="D87" s="217"/>
      <c r="E87" s="217"/>
    </row>
    <row r="88" spans="1:5" ht="12.75">
      <c r="A88" s="161" t="s">
        <v>167</v>
      </c>
      <c r="B88" s="236">
        <f>B83*B84*B85/1000*365*B86*(1-B87)</f>
        <v>550351.4579640001</v>
      </c>
      <c r="C88" s="236">
        <f>C83*C84*C85*365/1000*C86*(1-C87)</f>
        <v>194717.81155679995</v>
      </c>
      <c r="D88" s="217"/>
      <c r="E88" s="217" t="s">
        <v>218</v>
      </c>
    </row>
    <row r="89" spans="1:5" ht="12.75">
      <c r="A89" s="161" t="s">
        <v>66</v>
      </c>
      <c r="B89" s="189">
        <v>0.01</v>
      </c>
      <c r="C89" s="189">
        <v>0.01</v>
      </c>
      <c r="D89" s="234"/>
      <c r="E89" s="235"/>
    </row>
    <row r="90" spans="1:5" ht="12.75">
      <c r="A90" s="161" t="s">
        <v>67</v>
      </c>
      <c r="B90" s="189">
        <v>0.0075</v>
      </c>
      <c r="C90" s="189">
        <v>0.0075</v>
      </c>
      <c r="D90" s="160"/>
      <c r="E90" s="160"/>
    </row>
    <row r="91" spans="1:5" ht="12.75">
      <c r="A91" s="161" t="s">
        <v>64</v>
      </c>
      <c r="B91" s="189">
        <v>0.01</v>
      </c>
      <c r="C91" s="189">
        <v>0.01</v>
      </c>
      <c r="D91" s="157"/>
      <c r="E91" s="157"/>
    </row>
    <row r="92" spans="1:5" ht="12.75">
      <c r="A92" s="161" t="s">
        <v>68</v>
      </c>
      <c r="B92" s="189">
        <v>0</v>
      </c>
      <c r="C92" s="189">
        <v>0</v>
      </c>
      <c r="D92" s="157"/>
      <c r="E92" s="157"/>
    </row>
    <row r="93" spans="1:5" ht="12.75">
      <c r="A93" s="161" t="s">
        <v>48</v>
      </c>
      <c r="B93" s="189">
        <v>0.2</v>
      </c>
      <c r="C93" s="189">
        <v>0.2</v>
      </c>
      <c r="D93" s="157"/>
      <c r="E93" s="157"/>
    </row>
    <row r="94" spans="1:5" ht="12.75">
      <c r="A94" s="161"/>
      <c r="B94" s="189"/>
      <c r="C94" s="189"/>
      <c r="D94" s="157"/>
      <c r="E94" s="157"/>
    </row>
    <row r="95" spans="1:5" ht="12.75">
      <c r="A95" s="259" t="s">
        <v>238</v>
      </c>
      <c r="B95" s="260">
        <f>B89*(1-B93)*B88*310*44/28/1000</f>
        <v>2144.79825332256</v>
      </c>
      <c r="C95" s="261">
        <f>C88*C89*(1-C93)*310*44/28/1000</f>
        <v>758.8431284670719</v>
      </c>
      <c r="D95" s="262"/>
      <c r="E95" s="262" t="s">
        <v>218</v>
      </c>
    </row>
    <row r="96" spans="1:5" ht="12.75">
      <c r="A96" s="259" t="s">
        <v>239</v>
      </c>
      <c r="B96" s="263">
        <v>0</v>
      </c>
      <c r="C96" s="263">
        <v>0</v>
      </c>
      <c r="D96" s="262"/>
      <c r="E96" s="262" t="s">
        <v>218</v>
      </c>
    </row>
    <row r="97" spans="1:5" ht="13.5" thickBot="1">
      <c r="A97" s="264" t="s">
        <v>240</v>
      </c>
      <c r="B97" s="265">
        <f>B88*B91*B93*310*44/28/1000</f>
        <v>536.1995633306401</v>
      </c>
      <c r="C97" s="265">
        <f>C88*C91*C93*310*44/28/1000</f>
        <v>189.71078211676797</v>
      </c>
      <c r="D97" s="266"/>
      <c r="E97" s="267" t="s">
        <v>218</v>
      </c>
    </row>
    <row r="98" spans="1:5" ht="12.75">
      <c r="A98" s="230" t="s">
        <v>168</v>
      </c>
      <c r="B98" s="231">
        <f>B95+B97</f>
        <v>2680.9978166532</v>
      </c>
      <c r="C98" s="231">
        <f>C95+C97</f>
        <v>948.5539105838399</v>
      </c>
      <c r="D98" s="70"/>
      <c r="E98" s="71" t="s">
        <v>218</v>
      </c>
    </row>
    <row r="99" spans="1:5" ht="13.5" thickBot="1">
      <c r="A99" s="212"/>
      <c r="B99" s="297">
        <f>ROUND(B98+C98,0)</f>
        <v>3630</v>
      </c>
      <c r="C99" s="232"/>
      <c r="D99" s="45"/>
      <c r="E99" s="73"/>
    </row>
    <row r="100" ht="12.75">
      <c r="B100" s="298">
        <f>ROUND(B99+B78+B56+B70,0)</f>
        <v>9420</v>
      </c>
    </row>
    <row r="101" ht="13.5" thickBot="1">
      <c r="A101" s="1" t="s">
        <v>251</v>
      </c>
    </row>
    <row r="102" spans="1:5" ht="13.5" thickBot="1">
      <c r="A102" s="88" t="s">
        <v>4</v>
      </c>
      <c r="B102" s="93" t="s">
        <v>90</v>
      </c>
      <c r="C102" s="93"/>
      <c r="D102" s="114" t="s">
        <v>3</v>
      </c>
      <c r="E102" s="148" t="s">
        <v>5</v>
      </c>
    </row>
    <row r="103" spans="1:5" ht="12.75">
      <c r="A103" s="215"/>
      <c r="B103" s="116" t="s">
        <v>79</v>
      </c>
      <c r="C103" s="209" t="s">
        <v>80</v>
      </c>
      <c r="D103" s="209"/>
      <c r="E103" s="209"/>
    </row>
    <row r="104" spans="1:5" ht="12.75">
      <c r="A104" s="189" t="s">
        <v>170</v>
      </c>
      <c r="B104" s="95">
        <v>0.01</v>
      </c>
      <c r="C104" s="311">
        <f>0.02*2.4/1.8</f>
        <v>0.026666666666666665</v>
      </c>
      <c r="D104" s="217"/>
      <c r="E104" s="161" t="s">
        <v>236</v>
      </c>
    </row>
    <row r="105" spans="1:5" ht="15.75">
      <c r="A105" s="161" t="s">
        <v>81</v>
      </c>
      <c r="B105" s="277">
        <f>B7</f>
        <v>3626292</v>
      </c>
      <c r="C105" s="277">
        <f>C7</f>
        <v>637638</v>
      </c>
      <c r="D105" s="217"/>
      <c r="E105" s="217"/>
    </row>
    <row r="106" spans="1:5" ht="12.75">
      <c r="A106" s="128" t="s">
        <v>62</v>
      </c>
      <c r="B106" s="98">
        <v>0.7</v>
      </c>
      <c r="C106" s="242">
        <v>0.7</v>
      </c>
      <c r="D106" s="217"/>
      <c r="E106" s="217"/>
    </row>
    <row r="107" spans="1:5" ht="15.75">
      <c r="A107" s="217" t="s">
        <v>171</v>
      </c>
      <c r="B107" s="187">
        <v>0.7</v>
      </c>
      <c r="C107" s="217">
        <v>0.7</v>
      </c>
      <c r="D107" s="217"/>
      <c r="E107" s="217"/>
    </row>
    <row r="108" spans="1:5" ht="12.75">
      <c r="A108" s="216" t="s">
        <v>172</v>
      </c>
      <c r="B108" s="240">
        <f>B104*B105*365/1000*(1-B106)*B107</f>
        <v>2779.552818</v>
      </c>
      <c r="C108" s="243">
        <f>C104*C105*365/1000*(1-C106)*C107</f>
        <v>1303.3320720000002</v>
      </c>
      <c r="D108" s="216"/>
      <c r="E108" s="216"/>
    </row>
    <row r="109" spans="1:5" ht="15.75">
      <c r="A109" s="128" t="s">
        <v>169</v>
      </c>
      <c r="B109" s="99">
        <v>0.36</v>
      </c>
      <c r="C109" s="241">
        <v>0.39</v>
      </c>
      <c r="D109" s="217"/>
      <c r="E109" s="217"/>
    </row>
    <row r="110" spans="1:5" ht="13.5" thickBot="1">
      <c r="A110" s="239" t="s">
        <v>63</v>
      </c>
      <c r="B110" s="225">
        <v>1</v>
      </c>
      <c r="C110" s="217">
        <v>1</v>
      </c>
      <c r="D110" s="234"/>
      <c r="E110" s="235"/>
    </row>
    <row r="111" spans="1:5" ht="12.75">
      <c r="A111" s="42" t="s">
        <v>252</v>
      </c>
      <c r="B111" s="135">
        <f>21*0.67*B108*B109</f>
        <v>14078.990933733601</v>
      </c>
      <c r="C111" s="244">
        <f>C108*C109*21*0.67</f>
        <v>7151.774078685601</v>
      </c>
      <c r="D111" s="237" t="s">
        <v>75</v>
      </c>
      <c r="E111" s="71"/>
    </row>
    <row r="112" spans="1:5" ht="13.5" thickBot="1">
      <c r="A112" s="212"/>
      <c r="B112" s="299">
        <f>ROUND(B111+C111,0)</f>
        <v>21231</v>
      </c>
      <c r="C112" s="232"/>
      <c r="D112" s="238"/>
      <c r="E112" s="73"/>
    </row>
    <row r="114" ht="13.5" thickBot="1">
      <c r="A114" s="1" t="s">
        <v>173</v>
      </c>
    </row>
    <row r="115" spans="1:5" ht="13.5" thickBot="1">
      <c r="A115" s="88" t="s">
        <v>4</v>
      </c>
      <c r="B115" s="114" t="s">
        <v>90</v>
      </c>
      <c r="C115" s="93"/>
      <c r="D115" s="114" t="s">
        <v>3</v>
      </c>
      <c r="E115" s="148" t="s">
        <v>5</v>
      </c>
    </row>
    <row r="116" spans="1:5" ht="12.75">
      <c r="A116" s="89"/>
      <c r="B116" s="94" t="s">
        <v>79</v>
      </c>
      <c r="C116" s="94" t="s">
        <v>80</v>
      </c>
      <c r="D116" s="115"/>
      <c r="E116" s="12"/>
    </row>
    <row r="117" spans="1:5" ht="12.75">
      <c r="A117" s="161" t="s">
        <v>170</v>
      </c>
      <c r="B117" s="95">
        <v>0.01</v>
      </c>
      <c r="C117" s="311">
        <f>0.02*2.4/1.8</f>
        <v>0.026666666666666665</v>
      </c>
      <c r="D117" s="103" t="s">
        <v>85</v>
      </c>
      <c r="E117" s="161" t="s">
        <v>237</v>
      </c>
    </row>
    <row r="118" spans="1:5" ht="15.75">
      <c r="A118" s="161" t="s">
        <v>81</v>
      </c>
      <c r="B118" s="277">
        <f>B7</f>
        <v>3626292</v>
      </c>
      <c r="C118" s="277">
        <f>C7</f>
        <v>637638</v>
      </c>
      <c r="D118" s="217" t="s">
        <v>86</v>
      </c>
      <c r="E118" s="208" t="s">
        <v>133</v>
      </c>
    </row>
    <row r="119" spans="1:5" ht="15.75">
      <c r="A119" s="161" t="s">
        <v>177</v>
      </c>
      <c r="B119" s="99">
        <v>0.36</v>
      </c>
      <c r="C119" s="162">
        <v>0.39</v>
      </c>
      <c r="D119" s="104" t="s">
        <v>88</v>
      </c>
      <c r="E119" s="22" t="s">
        <v>18</v>
      </c>
    </row>
    <row r="120" spans="1:5" ht="12.75">
      <c r="A120" s="91" t="s">
        <v>174</v>
      </c>
      <c r="B120" s="98">
        <v>0.7</v>
      </c>
      <c r="C120" s="98">
        <v>0.7</v>
      </c>
      <c r="D120" s="233"/>
      <c r="E120" s="229"/>
    </row>
    <row r="121" spans="1:5" ht="12.75">
      <c r="A121" s="91" t="s">
        <v>175</v>
      </c>
      <c r="B121" s="269">
        <v>0.001</v>
      </c>
      <c r="C121" s="269">
        <v>0.001</v>
      </c>
      <c r="D121" s="233"/>
      <c r="E121" s="229"/>
    </row>
    <row r="122" spans="1:5" ht="12.75">
      <c r="A122" s="91" t="s">
        <v>176</v>
      </c>
      <c r="B122" s="170">
        <f>B117*B118*365/1000*(1-B120)*(1-B121)*0.3</f>
        <v>1190.0456850780001</v>
      </c>
      <c r="C122" s="170">
        <f>C117*C118*365/1000*(1-C120)*(1-C121)*0.3</f>
        <v>558.0123171120001</v>
      </c>
      <c r="D122" s="258" t="s">
        <v>135</v>
      </c>
      <c r="E122" s="229" t="s">
        <v>208</v>
      </c>
    </row>
    <row r="123" spans="1:5" ht="13.5" thickBot="1">
      <c r="A123" s="91" t="s">
        <v>128</v>
      </c>
      <c r="B123" s="166">
        <v>1</v>
      </c>
      <c r="C123" s="245">
        <v>1</v>
      </c>
      <c r="D123" s="246"/>
      <c r="E123" s="247"/>
    </row>
    <row r="124" spans="1:5" ht="12.75">
      <c r="A124" s="227" t="s">
        <v>178</v>
      </c>
      <c r="B124" s="135">
        <f>21*0.67*B122*B119</f>
        <v>6027.819404057086</v>
      </c>
      <c r="C124" s="135">
        <f>C122*C119*21*0.67</f>
        <v>3061.9809876886784</v>
      </c>
      <c r="D124" s="237" t="s">
        <v>75</v>
      </c>
      <c r="E124" s="71" t="s">
        <v>208</v>
      </c>
    </row>
    <row r="125" spans="1:5" ht="13.5" thickBot="1">
      <c r="A125" s="206"/>
      <c r="B125" s="299">
        <f>ROUND(B124+C124,0)</f>
        <v>9090</v>
      </c>
      <c r="C125" s="232"/>
      <c r="D125" s="238"/>
      <c r="E125" s="73"/>
    </row>
    <row r="127" spans="1:5" ht="12.75">
      <c r="A127" s="248" t="s">
        <v>179</v>
      </c>
      <c r="B127" s="249">
        <f>B12</f>
        <v>30330</v>
      </c>
      <c r="C127" t="s">
        <v>253</v>
      </c>
      <c r="D127" s="274">
        <f>B128-B127</f>
        <v>-9</v>
      </c>
      <c r="E127">
        <f>IF(D127&lt;0,0)</f>
        <v>0</v>
      </c>
    </row>
    <row r="128" spans="1:4" ht="12.75">
      <c r="A128" s="248" t="s">
        <v>180</v>
      </c>
      <c r="B128" s="249">
        <f>B112+B125</f>
        <v>30321</v>
      </c>
      <c r="D128" s="274"/>
    </row>
    <row r="129" spans="1:5" ht="12.75">
      <c r="A129" s="248" t="s">
        <v>181</v>
      </c>
      <c r="B129" s="249">
        <f>B33</f>
        <v>5185</v>
      </c>
      <c r="C129" s="273" t="s">
        <v>254</v>
      </c>
      <c r="D129" s="274">
        <f>B130-B129</f>
        <v>4235</v>
      </c>
      <c r="E129" s="275">
        <f>IF(D129&lt;0,0,D129)</f>
        <v>4235</v>
      </c>
    </row>
    <row r="130" spans="1:2" ht="12.75">
      <c r="A130" s="248" t="s">
        <v>182</v>
      </c>
      <c r="B130" s="249">
        <f>B56+B70+B78+B99</f>
        <v>9420</v>
      </c>
    </row>
    <row r="132" spans="1:2" ht="12.75">
      <c r="A132" s="204" t="s">
        <v>183</v>
      </c>
      <c r="B132" s="276">
        <f>E127+E129</f>
        <v>4235</v>
      </c>
    </row>
    <row r="133" spans="1:2" ht="13.5" thickBot="1">
      <c r="A133" s="204" t="s">
        <v>184</v>
      </c>
      <c r="B133" s="276">
        <f>'BASELINE EMISSION'!B66-'PROJECT EMISSION'!B75-'LEAKAGE&amp;ER'!B132</f>
        <v>71458</v>
      </c>
    </row>
    <row r="134" spans="10:18" ht="14.25" thickBot="1">
      <c r="J134" s="320" t="s">
        <v>266</v>
      </c>
      <c r="K134" s="320"/>
      <c r="L134" s="320"/>
      <c r="M134" s="320" t="s">
        <v>267</v>
      </c>
      <c r="N134" s="320"/>
      <c r="O134" s="320"/>
      <c r="P134" s="320" t="s">
        <v>268</v>
      </c>
      <c r="Q134" s="320"/>
      <c r="R134" s="320"/>
    </row>
    <row r="135" spans="10:18" ht="15.75" thickBot="1">
      <c r="J135" s="315" t="s">
        <v>263</v>
      </c>
      <c r="K135" s="316" t="s">
        <v>264</v>
      </c>
      <c r="L135" s="317" t="s">
        <v>265</v>
      </c>
      <c r="M135" s="316" t="s">
        <v>263</v>
      </c>
      <c r="N135" s="316" t="s">
        <v>264</v>
      </c>
      <c r="O135" s="316" t="s">
        <v>265</v>
      </c>
      <c r="P135" s="316" t="s">
        <v>263</v>
      </c>
      <c r="Q135" s="316" t="s">
        <v>264</v>
      </c>
      <c r="R135" s="317" t="s">
        <v>265</v>
      </c>
    </row>
    <row r="136" spans="3:18" ht="14.25" thickBot="1">
      <c r="C136" s="301"/>
      <c r="J136" s="321">
        <f>B127</f>
        <v>30330</v>
      </c>
      <c r="K136" s="322">
        <f>B129</f>
        <v>5185</v>
      </c>
      <c r="L136" s="319">
        <v>0</v>
      </c>
      <c r="M136" s="322">
        <f>B128</f>
        <v>30321</v>
      </c>
      <c r="N136" s="322">
        <f>B130</f>
        <v>9420</v>
      </c>
      <c r="O136" s="318">
        <v>0</v>
      </c>
      <c r="P136" s="318">
        <v>0</v>
      </c>
      <c r="Q136" s="322">
        <f>N136-K136</f>
        <v>4235</v>
      </c>
      <c r="R136" s="319">
        <v>0</v>
      </c>
    </row>
  </sheetData>
  <mergeCells count="3">
    <mergeCell ref="M134:O134"/>
    <mergeCell ref="P134:R134"/>
    <mergeCell ref="J134:L13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Protocol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zijun</dc:creator>
  <cp:keywords/>
  <dc:description/>
  <cp:lastModifiedBy>ibm</cp:lastModifiedBy>
  <dcterms:created xsi:type="dcterms:W3CDTF">2006-12-11T01:48:55Z</dcterms:created>
  <dcterms:modified xsi:type="dcterms:W3CDTF">2008-11-19T16:08:43Z</dcterms:modified>
  <cp:category/>
  <cp:version/>
  <cp:contentType/>
  <cp:contentStatus/>
</cp:coreProperties>
</file>