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8295" windowHeight="5595" tabRatio="807" activeTab="1"/>
  </bookViews>
  <sheets>
    <sheet name="Instruction" sheetId="1" r:id="rId1"/>
    <sheet name="Cash Flow" sheetId="2" r:id="rId2"/>
    <sheet name="Investment Plan" sheetId="3" r:id="rId3"/>
    <sheet name="Operation Cost" sheetId="4" r:id="rId4"/>
    <sheet name="Cost and Income" sheetId="5" r:id="rId5"/>
    <sheet name="Plan for Repayment of Loan" sheetId="6" r:id="rId6"/>
    <sheet name="Repayment of Principal" sheetId="7" r:id="rId7"/>
    <sheet name="Application of Fund" sheetId="8" r:id="rId8"/>
    <sheet name="Balance Sheet" sheetId="9" r:id="rId9"/>
    <sheet name="Sensitivity Analysis" sheetId="10" r:id="rId10"/>
    <sheet name="Summary of Indicators" sheetId="11" r:id="rId11"/>
  </sheets>
  <definedNames>
    <definedName name="_xlnm.Print_Area" localSheetId="2">'Investment Plan'!$A$1:$G$48</definedName>
    <definedName name="_xlnm.Print_Titles" localSheetId="7">'Application of Fund'!$A:$B</definedName>
    <definedName name="_xlnm.Print_Titles" localSheetId="8">'Balance Sheet'!$A:$B</definedName>
    <definedName name="_xlnm.Print_Titles" localSheetId="1">'Cash Flow'!$A:$B</definedName>
    <definedName name="_xlnm.Print_Titles" localSheetId="4">'Cost and Income'!$A:$B</definedName>
    <definedName name="_xlnm.Print_Titles" localSheetId="0">'Instruction'!$1:$5</definedName>
    <definedName name="_xlnm.Print_Titles" localSheetId="5">'Plan for Repayment of Loan'!$A:$B</definedName>
    <definedName name="_xlnm.Print_Titles" localSheetId="6">'Repayment of Principal'!$A:$B</definedName>
  </definedNames>
  <calcPr fullCalcOnLoad="1" fullPrecision="0"/>
</workbook>
</file>

<file path=xl/sharedStrings.xml><?xml version="1.0" encoding="utf-8"?>
<sst xmlns="http://schemas.openxmlformats.org/spreadsheetml/2006/main" count="564" uniqueCount="446">
  <si>
    <t>2. Residual value rate of fixed assets after depreciation</t>
  </si>
  <si>
    <t>Rate on long-term loan</t>
  </si>
  <si>
    <t xml:space="preserve">Investment in construction and Sources of fund </t>
  </si>
  <si>
    <t>Self-raised capital</t>
  </si>
  <si>
    <t>Long-term loan</t>
  </si>
  <si>
    <t>Rate of loss/gain</t>
  </si>
  <si>
    <t>Sales tax and surcharges</t>
  </si>
  <si>
    <t>Income tax rate</t>
  </si>
  <si>
    <t xml:space="preserve">Reserves </t>
  </si>
  <si>
    <t xml:space="preserve">Welfare funds </t>
  </si>
  <si>
    <t>Profits payable ( capital×  %)</t>
  </si>
  <si>
    <t>Insurance for fixed assets</t>
  </si>
  <si>
    <t>Calculation parameters</t>
  </si>
  <si>
    <t>Accumulated net cash flows after income tax</t>
  </si>
  <si>
    <t>Period (years) for repayment of loan</t>
  </si>
  <si>
    <t>Static investment recovery period (Pt)</t>
  </si>
  <si>
    <t>Rate of earnings on capital (ROE)</t>
  </si>
  <si>
    <t xml:space="preserve"> Return on total investment (ROI)</t>
  </si>
  <si>
    <t xml:space="preserve"> RMB Yuan/kwh</t>
  </si>
  <si>
    <t>Ton/year</t>
  </si>
  <si>
    <t>RMB Yuan/ton</t>
  </si>
  <si>
    <t>Year</t>
  </si>
  <si>
    <t>RMB 10000/year</t>
  </si>
  <si>
    <t>RMB Yuan 10,000</t>
  </si>
  <si>
    <t>Construction period is not included in the operating period of power station (year)</t>
  </si>
  <si>
    <t>Depreciation will be provided on a straight-line basis from the first year of production period by straight line method.</t>
  </si>
  <si>
    <t>Ratio of original value of fixed assets to total investment (dynamic investment).</t>
  </si>
  <si>
    <t>The residual value of fixed assets will be recovered at one time.</t>
  </si>
  <si>
    <t>Provide for depreciation based on original value of fixed assets</t>
  </si>
  <si>
    <t>Price of electricity (tax included)</t>
  </si>
  <si>
    <t>Including price differences.</t>
  </si>
  <si>
    <t>Interest incurred during construction period will be included in the original value of fixed assets.</t>
  </si>
  <si>
    <t>Composite tax rate</t>
  </si>
  <si>
    <t>Rate of Sales tax</t>
  </si>
  <si>
    <t>VAT surcharges</t>
  </si>
  <si>
    <t>Reserves provided on profits after tax</t>
  </si>
  <si>
    <t>Expense settlement on sales of electricity</t>
  </si>
  <si>
    <t>Insure fixed assets based on original value.</t>
  </si>
  <si>
    <t>Ratio of EBIT to interest included in cost.</t>
  </si>
  <si>
    <t>Ratio of EBIT+ depreciation +amortization to interest payable and principal repayable</t>
  </si>
  <si>
    <t>Table 1</t>
  </si>
  <si>
    <t>No.</t>
  </si>
  <si>
    <t>Items</t>
  </si>
  <si>
    <t>Total</t>
  </si>
  <si>
    <t>Construction Period (year)</t>
  </si>
  <si>
    <t>Operation Period (year)</t>
  </si>
  <si>
    <t>Basic parameter</t>
  </si>
  <si>
    <t>Installed Capacity(kW)</t>
  </si>
  <si>
    <t>Utilization hours (h)</t>
  </si>
  <si>
    <t>Power generation(10000kWh)</t>
  </si>
  <si>
    <t>Sales of electricity (10000kWh)</t>
  </si>
  <si>
    <t>Grid price(yuan/kWh)</t>
  </si>
  <si>
    <t>cash inflows (CI)</t>
  </si>
  <si>
    <t>Income of saling power</t>
  </si>
  <si>
    <t>Residual value of fixed assets recovered</t>
  </si>
  <si>
    <t>Floating Capital recovered</t>
  </si>
  <si>
    <t>Other(CERs)</t>
  </si>
  <si>
    <t>Subtotal of cash inflows</t>
  </si>
  <si>
    <t>Cash outflows(CO)</t>
  </si>
  <si>
    <t>Investment in fixed assets(Total investment)</t>
  </si>
  <si>
    <t>Floating Capital(Total investment)</t>
  </si>
  <si>
    <t>Annual Operatiing Cost</t>
  </si>
  <si>
    <t>Sales tax and surcharges</t>
  </si>
  <si>
    <t>Subtotal of cash outflows</t>
  </si>
  <si>
    <t>Net cash flows before income tax</t>
  </si>
  <si>
    <t>Accumulated net cash flows before income tax</t>
  </si>
  <si>
    <t>Net cash flows after income tax</t>
  </si>
  <si>
    <t>Accumulated net cash flows after income tax</t>
  </si>
  <si>
    <t>Calculation indexes</t>
  </si>
  <si>
    <t>(1)</t>
  </si>
  <si>
    <t>Net financial present value</t>
  </si>
  <si>
    <t xml:space="preserve">  Discount factor(Ic=  )</t>
  </si>
  <si>
    <t xml:space="preserve">  Net present value          FNPV=</t>
  </si>
  <si>
    <t>Financial IRR (FIRR after tax)</t>
  </si>
  <si>
    <t>Discount factor(i=   )</t>
  </si>
  <si>
    <t xml:space="preserve">  Discount factor(i=   )</t>
  </si>
  <si>
    <t>Calculation parameters for static investment recovery period (years)</t>
  </si>
  <si>
    <t>Static investment recovery period ( including construction period)</t>
  </si>
  <si>
    <t>Financial IRR(FIRR)</t>
  </si>
  <si>
    <t>Income tax</t>
  </si>
  <si>
    <r>
      <t>Unit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10,000yuan</t>
    </r>
  </si>
  <si>
    <t>Construction period is not included in the operating period of power station (year)</t>
  </si>
  <si>
    <t>Depreciation will be provided for on a straight-line basis from the first year of production period by straight line method.</t>
  </si>
  <si>
    <t>Ratio of original value of fixed assets to total investment (dynamic investment).</t>
  </si>
  <si>
    <t>The residual value of fixed assets will be recovered at one time.</t>
  </si>
  <si>
    <t>Provide for depreciation based on original value of fixed assets</t>
  </si>
  <si>
    <t>Calculate based on compound rate.(General interest rate of many projects)</t>
  </si>
  <si>
    <t>tax included</t>
  </si>
  <si>
    <t>Match with electricity transforming project,formation rate of fixed assets is 1.</t>
  </si>
  <si>
    <t>Ratio of subproject investment.</t>
  </si>
  <si>
    <t>Used for investment of fixed assets.</t>
  </si>
  <si>
    <t>Proportion in total payroll of employees %.</t>
  </si>
  <si>
    <t>General value calculated according to stages.</t>
  </si>
  <si>
    <t>Ratio in investment of subproject.</t>
  </si>
  <si>
    <t>Asssurance index of current  employees as follows(Proportion in total payroll of employees %)</t>
  </si>
  <si>
    <t>Table 4</t>
  </si>
  <si>
    <t>Parameters</t>
  </si>
  <si>
    <t xml:space="preserve">Total </t>
  </si>
  <si>
    <t>Installed capacity (kW)</t>
  </si>
  <si>
    <t>Income of power sales(RMB ten thousand yuan)</t>
  </si>
  <si>
    <t>Total cost of power generation(RMB ten thousand yuan)</t>
  </si>
  <si>
    <t xml:space="preserve">Water charges </t>
  </si>
  <si>
    <t>Cost of operation and maintenance</t>
  </si>
  <si>
    <t xml:space="preserve">  For Power station</t>
  </si>
  <si>
    <t xml:space="preserve">  For subproject</t>
  </si>
  <si>
    <t>Payroll and welfare</t>
  </si>
  <si>
    <t>Other expenses(insurance for fixed assets)</t>
  </si>
  <si>
    <t>Depreciation cost</t>
  </si>
  <si>
    <t xml:space="preserve">  For power station</t>
  </si>
  <si>
    <t>Interest expense</t>
  </si>
  <si>
    <t>Sales tax and surcharge</t>
  </si>
  <si>
    <t>VAT</t>
  </si>
  <si>
    <t>Additional urban construction tax</t>
  </si>
  <si>
    <t>Education surcharge</t>
  </si>
  <si>
    <t>Profit on sale</t>
  </si>
  <si>
    <t>Income tax</t>
  </si>
  <si>
    <t>Profits available for distribution</t>
  </si>
  <si>
    <t>Reserves</t>
  </si>
  <si>
    <t>Welfare funds</t>
  </si>
  <si>
    <t>Profits payable ( capital×  %)</t>
  </si>
  <si>
    <t>Accumulated undistributed profits</t>
  </si>
  <si>
    <t>Operating cost(excluding depreciation cost)  (RMB Yuan/ kwh)</t>
  </si>
  <si>
    <t>Composite cost(RMB yuan/kWh)</t>
  </si>
  <si>
    <t>Rate of earnings on Self-raised capital (ROE)</t>
  </si>
  <si>
    <t>Total return on total investment (ROI)</t>
  </si>
  <si>
    <t>*</t>
  </si>
  <si>
    <t>Table 6</t>
  </si>
  <si>
    <t>Parameter</t>
  </si>
  <si>
    <t>Long-term loan and repayment of principal and payment of interest (Compound  rate=  %)</t>
  </si>
  <si>
    <t>1.2.1</t>
  </si>
  <si>
    <t>1.2.2</t>
  </si>
  <si>
    <t>Short-term loan and repayment of principal and payment of interest (Simple interest rate=  %)</t>
  </si>
  <si>
    <t>Other (CERs)</t>
  </si>
  <si>
    <t>Plan years for repayment of loan (year)</t>
  </si>
  <si>
    <t>Table 7</t>
  </si>
  <si>
    <t>1.1</t>
  </si>
  <si>
    <t>1.2</t>
  </si>
  <si>
    <t>1.3</t>
  </si>
  <si>
    <t>1.4</t>
  </si>
  <si>
    <t>1.4.1</t>
  </si>
  <si>
    <t xml:space="preserve">  Capital (paid up capital,including subproject)</t>
  </si>
  <si>
    <t>1.4.2</t>
  </si>
  <si>
    <t>1.6</t>
  </si>
  <si>
    <t>floating capital recovered</t>
  </si>
  <si>
    <t>2.1</t>
  </si>
  <si>
    <t>2.1.1</t>
  </si>
  <si>
    <t xml:space="preserve">  Self-raised Capital (paid up capital,including subproject )</t>
  </si>
  <si>
    <t>2.1.2</t>
  </si>
  <si>
    <t>2.2</t>
  </si>
  <si>
    <t>floating capital</t>
  </si>
  <si>
    <t>2.8.1</t>
  </si>
  <si>
    <t>2.8.2</t>
  </si>
  <si>
    <t>Accumulated surplus funds</t>
  </si>
  <si>
    <t xml:space="preserve">of whitch:1 Residue depraciation cost after loan repayment </t>
  </si>
  <si>
    <t>2 Residue benefits after loan repayment</t>
  </si>
  <si>
    <t>3 Residue other benefits after loan repayment</t>
  </si>
  <si>
    <t>Table 8</t>
  </si>
  <si>
    <t>Value at the end of period</t>
  </si>
  <si>
    <t>Asset</t>
  </si>
  <si>
    <t>Total of floating capital</t>
  </si>
  <si>
    <t>Floating capital</t>
  </si>
  <si>
    <t>The project on constructing</t>
  </si>
  <si>
    <t>Net value of fixed asset</t>
  </si>
  <si>
    <t>Intangible assets &amp; Deferred assets</t>
  </si>
  <si>
    <t>Public welfare fund and a reserve fund</t>
  </si>
  <si>
    <t>Balance sheet(2.1+2.2)</t>
  </si>
  <si>
    <t>Total Long-Term Liabilities</t>
  </si>
  <si>
    <t>Total short-Term Liabilities (floating capital)</t>
  </si>
  <si>
    <t>Owner's Equity</t>
  </si>
  <si>
    <t>Self-raising of funds(investment of fixed assets)</t>
  </si>
  <si>
    <t>Self-raising of funds(floating capital)</t>
  </si>
  <si>
    <t>Capital reserve</t>
  </si>
  <si>
    <t>Unappropriated profits </t>
  </si>
  <si>
    <t>Other income (CERs)</t>
  </si>
  <si>
    <t>Assets Liabilities Ratio (LOAR)</t>
  </si>
  <si>
    <t>Owner's equity</t>
  </si>
  <si>
    <t>The rate of total value</t>
  </si>
  <si>
    <t>Table 9</t>
  </si>
  <si>
    <t>Base</t>
  </si>
  <si>
    <t>Without CERs</t>
  </si>
  <si>
    <t>Table 10</t>
  </si>
  <si>
    <t>Unit</t>
  </si>
  <si>
    <t>Remarks</t>
  </si>
  <si>
    <t>Ⅰ</t>
  </si>
  <si>
    <t>Installed capacity</t>
  </si>
  <si>
    <t>kW</t>
  </si>
  <si>
    <t>Annual utilization hours</t>
  </si>
  <si>
    <t>h/year</t>
  </si>
  <si>
    <t>Effective power factor</t>
  </si>
  <si>
    <t>%</t>
  </si>
  <si>
    <t>Rate of power consumption by plant</t>
  </si>
  <si>
    <t xml:space="preserve">General loss in Transmission and Transformation of electricity </t>
  </si>
  <si>
    <t>Electricity supplied to grid</t>
  </si>
  <si>
    <t>10,000kWh</t>
  </si>
  <si>
    <t xml:space="preserve">The operating period of power station </t>
  </si>
  <si>
    <t>year</t>
  </si>
  <si>
    <t xml:space="preserve">Depreciable life of fixed assets </t>
  </si>
  <si>
    <t>1. Formation rate of fixed assets</t>
  </si>
  <si>
    <t>3. Depreciation rate of fixed assets</t>
  </si>
  <si>
    <t>Rate on short-term loan</t>
  </si>
  <si>
    <t>Calculate based on single rate.(composite of many loans)</t>
  </si>
  <si>
    <t>Grid price</t>
  </si>
  <si>
    <t>Emission reduction of CO2</t>
  </si>
  <si>
    <t xml:space="preserve">Unit income from CERs </t>
  </si>
  <si>
    <t xml:space="preserve">Period of income from CERs </t>
  </si>
  <si>
    <t>Income from CERs</t>
  </si>
  <si>
    <t>Ⅱ</t>
  </si>
  <si>
    <r>
      <t xml:space="preserve">Of whitch </t>
    </r>
    <r>
      <rPr>
        <sz val="10"/>
        <color indexed="8"/>
        <rFont val="宋体"/>
        <family val="0"/>
      </rPr>
      <t>①</t>
    </r>
    <r>
      <rPr>
        <sz val="10"/>
        <color indexed="8"/>
        <rFont val="Times New Roman"/>
        <family val="1"/>
      </rPr>
      <t>Total static investment:</t>
    </r>
  </si>
  <si>
    <t>RMB Yuan 10,000</t>
  </si>
  <si>
    <r>
      <t xml:space="preserve">                 </t>
    </r>
    <r>
      <rPr>
        <sz val="10"/>
        <color indexed="8"/>
        <rFont val="宋体"/>
        <family val="0"/>
      </rPr>
      <t>②</t>
    </r>
    <r>
      <rPr>
        <sz val="10"/>
        <color indexed="8"/>
        <rFont val="Times New Roman"/>
        <family val="1"/>
      </rPr>
      <t>Interest incurred during construction period</t>
    </r>
  </si>
  <si>
    <t>RMB Yuan 10,000</t>
  </si>
  <si>
    <r>
      <t xml:space="preserve">                 </t>
    </r>
    <r>
      <rPr>
        <sz val="10"/>
        <color indexed="8"/>
        <rFont val="宋体"/>
        <family val="0"/>
      </rPr>
      <t>③</t>
    </r>
    <r>
      <rPr>
        <sz val="10"/>
        <color indexed="8"/>
        <rFont val="Times New Roman"/>
        <family val="1"/>
      </rPr>
      <t>Floating capital</t>
    </r>
  </si>
  <si>
    <t>Formation rate of fixed assets</t>
  </si>
  <si>
    <t xml:space="preserve">of which: 1. Used as current funds </t>
  </si>
  <si>
    <t xml:space="preserve">                2. Used for investment in fixed assets)</t>
  </si>
  <si>
    <t>Including investment for electricity transforming subproject.</t>
  </si>
  <si>
    <t>Used for investment in fixed assets</t>
  </si>
  <si>
    <t>of which: 1. Fund from long-term loan</t>
  </si>
  <si>
    <t xml:space="preserve">                2. Interest on long-term loan</t>
  </si>
  <si>
    <t>Short-term loan</t>
  </si>
  <si>
    <t>Investment per kW:</t>
  </si>
  <si>
    <t>RMB Yuan/kw</t>
  </si>
  <si>
    <t>Ⅲ</t>
  </si>
  <si>
    <t>%</t>
  </si>
  <si>
    <t>Of which: 1.VAT rate</t>
  </si>
  <si>
    <t xml:space="preserve">                 2. Additional urban construction tax </t>
  </si>
  <si>
    <t xml:space="preserve">                 3. Education surcharges  </t>
  </si>
  <si>
    <t>Water charges</t>
  </si>
  <si>
    <t>Ⅳ</t>
  </si>
  <si>
    <t>Internal return rate of full investment (FIRR )</t>
  </si>
  <si>
    <t>year</t>
  </si>
  <si>
    <t>Interest coverage rate (ICR&gt; 1)</t>
  </si>
  <si>
    <t>Debt coverage ratio(DSCR&gt; 1)</t>
  </si>
  <si>
    <t>dividing EBIT by self capital</t>
  </si>
  <si>
    <t xml:space="preserve">dividing EBIT by Total investment </t>
  </si>
  <si>
    <t>Note:</t>
  </si>
  <si>
    <t>(2)</t>
  </si>
  <si>
    <t>(3)</t>
  </si>
  <si>
    <t>(4)</t>
  </si>
  <si>
    <t>+10%</t>
  </si>
  <si>
    <t>+5%</t>
  </si>
  <si>
    <t>-5%</t>
  </si>
  <si>
    <t>-10%</t>
  </si>
  <si>
    <t>2.1.1</t>
  </si>
  <si>
    <t>2.1.2</t>
  </si>
  <si>
    <t>FIRR</t>
  </si>
  <si>
    <t>1.5</t>
  </si>
  <si>
    <t>1.7</t>
  </si>
  <si>
    <t>1.8</t>
  </si>
  <si>
    <t>1.9</t>
  </si>
  <si>
    <t>2.4</t>
  </si>
  <si>
    <t>2.5</t>
  </si>
  <si>
    <t>2.6</t>
  </si>
  <si>
    <t>2.7</t>
  </si>
  <si>
    <t>2.8</t>
  </si>
  <si>
    <t>%</t>
  </si>
  <si>
    <t>2.8.3</t>
  </si>
  <si>
    <t>1.1.1</t>
  </si>
  <si>
    <t>1.1.2</t>
  </si>
  <si>
    <t>2.3.1</t>
  </si>
  <si>
    <t>2.3.2</t>
  </si>
  <si>
    <t>2.3.3</t>
  </si>
  <si>
    <t>2.3.4</t>
  </si>
  <si>
    <t>2.3.5</t>
  </si>
  <si>
    <t>2.3.6</t>
  </si>
  <si>
    <t>2.1.3</t>
  </si>
  <si>
    <t>No.</t>
  </si>
  <si>
    <t>Items</t>
  </si>
  <si>
    <t>Basic parameter</t>
  </si>
  <si>
    <t>Total</t>
  </si>
  <si>
    <t>Construction Period (year)</t>
  </si>
  <si>
    <t>Operation Period (year)</t>
  </si>
  <si>
    <t>Table 2</t>
  </si>
  <si>
    <t>Basic Parameters</t>
  </si>
  <si>
    <t>Operating period of power station (year)</t>
  </si>
  <si>
    <t>Depreciable life of fixed assets (year)</t>
  </si>
  <si>
    <t>Formation rate of fixed assets</t>
  </si>
  <si>
    <t>Residual value rate of fixed assets</t>
  </si>
  <si>
    <t>Depreciation rate of fixed assets</t>
  </si>
  <si>
    <t>Rate on long-term loan</t>
  </si>
  <si>
    <t>Rate on construction period loan</t>
  </si>
  <si>
    <t>Estimated Grid Price(yuan/kWh)</t>
  </si>
  <si>
    <t>subproject</t>
  </si>
  <si>
    <t>Annual Operation and Maintence Cost Rate</t>
  </si>
  <si>
    <t>Parameters</t>
  </si>
  <si>
    <t>Remarks</t>
  </si>
  <si>
    <t>Calculate based on compound rate.</t>
  </si>
  <si>
    <t>Total dynamic investment:</t>
  </si>
  <si>
    <t>Total static investment:</t>
  </si>
  <si>
    <t>Interest incurred during construction period</t>
  </si>
  <si>
    <t>Floating Capital</t>
  </si>
  <si>
    <t>Including price difference and subproject.</t>
  </si>
  <si>
    <t>Finance</t>
  </si>
  <si>
    <t>Self-raised capital</t>
  </si>
  <si>
    <t>Used as Floating Capital</t>
  </si>
  <si>
    <t>Used as fixed assets investment</t>
  </si>
  <si>
    <t>Used as subproject investment</t>
  </si>
  <si>
    <t>Long-term loan</t>
  </si>
  <si>
    <t>2.2.1</t>
  </si>
  <si>
    <t>Capital for long-term loan</t>
  </si>
  <si>
    <t>2.2.2</t>
  </si>
  <si>
    <t>Interest on construction period loan</t>
  </si>
  <si>
    <t>Loan of current funds</t>
  </si>
  <si>
    <t>Original value of fixed assets</t>
  </si>
  <si>
    <t>Match with electricity transforming project.</t>
  </si>
  <si>
    <t>Used for floating capital.</t>
  </si>
  <si>
    <t>Note:</t>
  </si>
  <si>
    <t>1. Original value of fixed assets=investment of fixed assets+ interest incurred during construction period-investment in intangible assets and deferred assets.</t>
  </si>
  <si>
    <t>2. Current loan is used as current funds. The interest is calculated based on the first year of production period.Current funds don’t constitute fixed assets.</t>
  </si>
  <si>
    <t>3. Interest of long-term loan is calculated based on 1/2 in the current year, based on the whole year in the next year.</t>
  </si>
  <si>
    <t>Table 3</t>
  </si>
  <si>
    <t>Ⅰ</t>
  </si>
  <si>
    <t>Number of installed generator</t>
  </si>
  <si>
    <t>unit installed capacity</t>
  </si>
  <si>
    <t>Total capacity</t>
  </si>
  <si>
    <t>Investment in fixed assets</t>
  </si>
  <si>
    <t>Unit investment:</t>
  </si>
  <si>
    <t xml:space="preserve">Annual utilization hours of power </t>
  </si>
  <si>
    <t>Power generation (10,000kWh)</t>
  </si>
  <si>
    <t>Effective power generated</t>
  </si>
  <si>
    <t>Power consumption by plant</t>
  </si>
  <si>
    <t>Power supply</t>
  </si>
  <si>
    <t xml:space="preserve">Loss in Transmission and Transformation Network </t>
  </si>
  <si>
    <t>Electricity  Suppplied</t>
  </si>
  <si>
    <t>Unit</t>
  </si>
  <si>
    <t>kW</t>
  </si>
  <si>
    <t>RMB 10,000 yuan</t>
  </si>
  <si>
    <t>RMB yuan</t>
  </si>
  <si>
    <t>h</t>
  </si>
  <si>
    <t>10,000kWh</t>
  </si>
  <si>
    <t>Calculated value</t>
  </si>
  <si>
    <t>Quota</t>
  </si>
  <si>
    <t>Original value of constitued fixed assets.</t>
  </si>
  <si>
    <t>Ⅱ</t>
  </si>
  <si>
    <t>Cost of Production</t>
  </si>
  <si>
    <t>Payroll</t>
  </si>
  <si>
    <t xml:space="preserve">  1. Number of employees</t>
  </si>
  <si>
    <t xml:space="preserve">  2. Annual average payroll</t>
  </si>
  <si>
    <t>Employee welfare</t>
  </si>
  <si>
    <t xml:space="preserve">  1. Employee’s insurance </t>
  </si>
  <si>
    <t xml:space="preserve">  2. Welfare fund</t>
  </si>
  <si>
    <t xml:space="preserve">  3. Education fund</t>
  </si>
  <si>
    <t xml:space="preserve">  4.Housing Provident Fund  </t>
  </si>
  <si>
    <t>Operation and maintenance expense</t>
  </si>
  <si>
    <t xml:space="preserve">  1. Cost of overhaul </t>
  </si>
  <si>
    <t xml:space="preserve">  2. Cost of materials </t>
  </si>
  <si>
    <t xml:space="preserve">  3. Other expenses </t>
  </si>
  <si>
    <t>Person</t>
  </si>
  <si>
    <t>yuan/year</t>
  </si>
  <si>
    <t>Ⅲ</t>
  </si>
  <si>
    <t>Unit: kwh production cost</t>
  </si>
  <si>
    <t xml:space="preserve"> Yuan/kwh</t>
  </si>
  <si>
    <t>Depreciation cost and interest payable are not included.</t>
  </si>
  <si>
    <t>Ⅳ</t>
  </si>
  <si>
    <t>Annual expenses of subproject operation</t>
  </si>
  <si>
    <t>1Hospitalization insurance</t>
  </si>
  <si>
    <t>2Endowment insurance</t>
  </si>
  <si>
    <t>3 Unemployment insurance</t>
  </si>
  <si>
    <t>4Labour injury insurance</t>
  </si>
  <si>
    <t>5Procreation insurance</t>
  </si>
  <si>
    <t>Enterprise 7.5% individual 2%</t>
  </si>
  <si>
    <t>Enterprise 20% individual 8% Individual endowment insurancecan be adjusted according to local income level</t>
  </si>
  <si>
    <t>Enterprise 2% individual 1%</t>
  </si>
  <si>
    <t>Enterprise 9%  Grade 1 production enterprises include electricpower,traffic,building materials,postelectric and so on.</t>
  </si>
  <si>
    <t xml:space="preserve">Enterprise 1% </t>
  </si>
  <si>
    <r>
      <t>①</t>
    </r>
    <r>
      <rPr>
        <sz val="10"/>
        <rFont val="Times New Roman"/>
        <family val="1"/>
      </rPr>
      <t>.The country regulates that the above “five insurance”can not be escaped principly.</t>
    </r>
  </si>
  <si>
    <r>
      <t>②</t>
    </r>
    <r>
      <rPr>
        <sz val="10"/>
        <rFont val="Times New Roman"/>
        <family val="1"/>
      </rPr>
      <t>.National department, administration and enterprises have no labour injury insurance</t>
    </r>
  </si>
  <si>
    <r>
      <t>③</t>
    </r>
    <r>
      <rPr>
        <sz val="10"/>
        <rFont val="Times New Roman"/>
        <family val="1"/>
      </rPr>
      <t>.The total insurance is 39.5% (the part submitted by individual is not included)</t>
    </r>
  </si>
  <si>
    <t>Undistributed profits (available for repayment of loan)</t>
  </si>
  <si>
    <t>Table 5</t>
  </si>
  <si>
    <t>Depreciation cost of power station</t>
  </si>
  <si>
    <t>Depreciable life</t>
  </si>
  <si>
    <t>Base of depreciation cost for repayment of loan</t>
  </si>
  <si>
    <t>Residual value after depreciation (including differences)</t>
  </si>
  <si>
    <t>Factor of depreciation cost for repayment of loan(*)</t>
  </si>
  <si>
    <t>Depreciation cost available for repayment of loan</t>
  </si>
  <si>
    <t>Depreciation cost of subproject</t>
  </si>
  <si>
    <t>Undistributed profits</t>
  </si>
  <si>
    <t>Base of profits for repayment of loan</t>
  </si>
  <si>
    <t>Factor of profits for repayment of loan(*)</t>
  </si>
  <si>
    <t>Profits available for repayment of loan</t>
  </si>
  <si>
    <t>Other (CERs)</t>
  </si>
  <si>
    <t>Cost available for repayment of loan</t>
  </si>
  <si>
    <t>Remaining amount of cost available for repayment of loan after repayment of principal</t>
  </si>
  <si>
    <t>Beginning bal. of loan</t>
  </si>
  <si>
    <t>Repayment of principal and payment of interest in current period</t>
  </si>
  <si>
    <t xml:space="preserve">  Principal</t>
  </si>
  <si>
    <t xml:space="preserve">  Payment of interest</t>
  </si>
  <si>
    <t>Ending bal. of loan</t>
  </si>
  <si>
    <t>Sources of fund for repayment of loan</t>
  </si>
  <si>
    <t>Interest included in cost (Equal payment of interest)</t>
  </si>
  <si>
    <t>Years for repayment of loan during production period</t>
  </si>
  <si>
    <t>Repayment of loan in the end of current year</t>
  </si>
  <si>
    <t>Accumulated repayment of loan  in the end of current year</t>
  </si>
  <si>
    <t>Years for repayment of loan ( including construction period)</t>
  </si>
  <si>
    <t>Interest coverage rate (ICR)</t>
  </si>
  <si>
    <t>Debt coverage ratio(DSCR)</t>
  </si>
  <si>
    <t>Sub-total of fund sources</t>
  </si>
  <si>
    <t xml:space="preserve">Profit on sale </t>
  </si>
  <si>
    <t>Depreciation cost</t>
  </si>
  <si>
    <t>Amortization of cost</t>
  </si>
  <si>
    <t>Investment in fixed assets (long term loan)</t>
  </si>
  <si>
    <t xml:space="preserve">  Loan (financing)</t>
  </si>
  <si>
    <t>Loan and interest incurred during construction period (long term loan)</t>
  </si>
  <si>
    <t xml:space="preserve">Interest income included in cost </t>
  </si>
  <si>
    <t>Residual value of fixed assets recovered</t>
  </si>
  <si>
    <t xml:space="preserve">Sub-total of application of fund </t>
  </si>
  <si>
    <t>Investment in fixed assets</t>
  </si>
  <si>
    <t>Interest paid during construction period</t>
  </si>
  <si>
    <t>Provision of reserves and legal public welfare fund</t>
  </si>
  <si>
    <t>Repayment of loan and payment of interest thereon</t>
  </si>
  <si>
    <t>Repayment of long-term loan</t>
  </si>
  <si>
    <t>Payment of interest on long-term loan</t>
  </si>
  <si>
    <t>Payment of interest on short-term loan</t>
  </si>
  <si>
    <t>Calculation Indexes</t>
  </si>
  <si>
    <t>Surplus funds</t>
  </si>
  <si>
    <t>The floating capitals of“Accumulated surplus funds”are not received by the end of operation period.</t>
  </si>
  <si>
    <t>Accumulated surplus funds</t>
  </si>
  <si>
    <t>Statement of Sensitivity Analysis and Calculation</t>
  </si>
  <si>
    <t>Fluctuate  indexes</t>
  </si>
  <si>
    <t>Estimated Grid Price (RMB yuan/kWh)</t>
  </si>
  <si>
    <t>Static Total Investment(RMB 10,000yuan)</t>
  </si>
  <si>
    <t>Annual Operating Cost(RMB 10,000yuan)</t>
  </si>
  <si>
    <t>Basic parameters</t>
  </si>
  <si>
    <t>Jinshizi Hydropower Station Finance Analysis</t>
  </si>
  <si>
    <t>support fund (the first 10 years)</t>
  </si>
  <si>
    <t>of which subtotal of operating cost(RMB ten thousand yuan)</t>
  </si>
  <si>
    <t>VAT for deduction</t>
  </si>
  <si>
    <r>
      <t>（</t>
    </r>
    <r>
      <rPr>
        <b/>
        <sz val="12"/>
        <color indexed="10"/>
        <rFont val="Times New Roman"/>
        <family val="1"/>
      </rPr>
      <t>Total Investment--without interest</t>
    </r>
    <r>
      <rPr>
        <b/>
        <sz val="12"/>
        <color indexed="10"/>
        <rFont val="黑体"/>
        <family val="0"/>
      </rPr>
      <t>）</t>
    </r>
  </si>
  <si>
    <t>remark</t>
  </si>
  <si>
    <t>Calculation of other income CERs</t>
  </si>
  <si>
    <t>No.</t>
  </si>
  <si>
    <t>Items</t>
  </si>
  <si>
    <t>Income</t>
  </si>
  <si>
    <t>Remarks</t>
  </si>
  <si>
    <t>Basic Parameters</t>
  </si>
  <si>
    <t>State and UN tax rate</t>
  </si>
  <si>
    <t>VAT and additional composite tax rate</t>
  </si>
  <si>
    <t>Income tax rate</t>
  </si>
  <si>
    <t>Annual reduction of CO2 (ton/year)</t>
  </si>
  <si>
    <t>Unit return (RMB Yuan/t)</t>
  </si>
  <si>
    <t>Annual income</t>
  </si>
  <si>
    <t>Income after state and UN tax</t>
  </si>
  <si>
    <t>Income after VAT and surcharges</t>
  </si>
  <si>
    <t>Income after income tax</t>
  </si>
  <si>
    <t>Period of CERs income (year)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</si>
</sst>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_䐀"/>
    <numFmt numFmtId="185" formatCode="0;_搀"/>
    <numFmt numFmtId="186" formatCode="0.00_ "/>
    <numFmt numFmtId="187" formatCode="0.0;_搀"/>
    <numFmt numFmtId="188" formatCode="0.00;_搀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%"/>
    <numFmt numFmtId="195" formatCode="0.00000_ "/>
    <numFmt numFmtId="196" formatCode="0.0000_ "/>
    <numFmt numFmtId="197" formatCode="0.000_ "/>
    <numFmt numFmtId="198" formatCode="0.000000_ "/>
    <numFmt numFmtId="199" formatCode="0.00;[Red]0.00"/>
    <numFmt numFmtId="200" formatCode="0_ "/>
    <numFmt numFmtId="201" formatCode="0;[Red]0"/>
    <numFmt numFmtId="202" formatCode="0.00000000_ "/>
    <numFmt numFmtId="203" formatCode="0.0000000_ "/>
    <numFmt numFmtId="204" formatCode="0.0;[Red]0.0"/>
    <numFmt numFmtId="205" formatCode="0.000;[Red]0.000"/>
    <numFmt numFmtId="206" formatCode="0.0000;[Red]0.0000"/>
    <numFmt numFmtId="207" formatCode="0.00000;[Red]0.00000"/>
    <numFmt numFmtId="208" formatCode="0.000000;[Red]0.000000"/>
    <numFmt numFmtId="209" formatCode="0.0000000;[Red]0.0000000"/>
    <numFmt numFmtId="210" formatCode="0.00000000;[Red]0.00000000"/>
    <numFmt numFmtId="211" formatCode="0.00_ ;[Red]\-0.00\ "/>
    <numFmt numFmtId="212" formatCode="0;_밀"/>
    <numFmt numFmtId="213" formatCode="0;_Ѐ"/>
    <numFmt numFmtId="214" formatCode="0.000%"/>
    <numFmt numFmtId="215" formatCode="0.0_ ;[Red]\-0.0\ "/>
    <numFmt numFmtId="216" formatCode="0_ ;[Red]\-0\ "/>
    <numFmt numFmtId="217" formatCode="0;_頀"/>
    <numFmt numFmtId="218" formatCode="0;_"/>
    <numFmt numFmtId="219" formatCode="0.0;_"/>
    <numFmt numFmtId="220" formatCode="0.00;_"/>
    <numFmt numFmtId="221" formatCode="0.000_ ;[Red]\-0.000\ "/>
    <numFmt numFmtId="222" formatCode="0.0000_ ;[Red]\-0.0000\ "/>
    <numFmt numFmtId="223" formatCode="0.0000%"/>
    <numFmt numFmtId="224" formatCode="0.00_);[Red]\(0.00\)"/>
    <numFmt numFmtId="225" formatCode="0;_됀"/>
    <numFmt numFmtId="226" formatCode="0;_퀀"/>
    <numFmt numFmtId="227" formatCode="0;_Ā"/>
    <numFmt numFmtId="228" formatCode="0;_쐀"/>
    <numFmt numFmtId="229" formatCode="0.000000000;[Red]0.000000000"/>
    <numFmt numFmtId="230" formatCode="0;_ﰀ"/>
  </numFmts>
  <fonts count="6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6"/>
      <name val="Times New Roman"/>
      <family val="1"/>
    </font>
    <font>
      <b/>
      <sz val="12"/>
      <name val="黑体"/>
      <family val="0"/>
    </font>
    <font>
      <sz val="18"/>
      <name val="宋体"/>
      <family val="0"/>
    </font>
    <font>
      <b/>
      <sz val="18"/>
      <name val="隶书"/>
      <family val="3"/>
    </font>
    <font>
      <sz val="10"/>
      <name val="隶书"/>
      <family val="3"/>
    </font>
    <font>
      <b/>
      <sz val="16"/>
      <name val="隶书"/>
      <family val="3"/>
    </font>
    <font>
      <b/>
      <sz val="36"/>
      <name val="华文新魏"/>
      <family val="0"/>
    </font>
    <font>
      <b/>
      <sz val="12"/>
      <color indexed="10"/>
      <name val="黑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华文宋体"/>
      <family val="0"/>
    </font>
    <font>
      <sz val="11"/>
      <name val="Times New Roman"/>
      <family val="1"/>
    </font>
    <font>
      <sz val="10"/>
      <name val="华文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199" fontId="15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199" fontId="15" fillId="33" borderId="10" xfId="0" applyNumberFormat="1" applyFont="1" applyFill="1" applyBorder="1" applyAlignment="1" applyProtection="1">
      <alignment horizontal="left" vertical="center" wrapText="1"/>
      <protection/>
    </xf>
    <xf numFmtId="0" fontId="15" fillId="33" borderId="10" xfId="0" applyFont="1" applyFill="1" applyBorder="1" applyAlignment="1" applyProtection="1">
      <alignment horizontal="left" vertical="center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center"/>
    </xf>
    <xf numFmtId="201" fontId="15" fillId="0" borderId="13" xfId="0" applyNumberFormat="1" applyFont="1" applyBorder="1" applyAlignment="1">
      <alignment horizontal="center" vertical="center"/>
    </xf>
    <xf numFmtId="201" fontId="15" fillId="0" borderId="10" xfId="0" applyNumberFormat="1" applyFont="1" applyBorder="1" applyAlignment="1">
      <alignment horizontal="center" vertical="center"/>
    </xf>
    <xf numFmtId="201" fontId="15" fillId="0" borderId="10" xfId="0" applyNumberFormat="1" applyFont="1" applyFill="1" applyBorder="1" applyAlignment="1">
      <alignment horizontal="center" vertical="center"/>
    </xf>
    <xf numFmtId="204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06" fontId="15" fillId="33" borderId="14" xfId="0" applyNumberFormat="1" applyFont="1" applyFill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/>
    </xf>
    <xf numFmtId="199" fontId="15" fillId="0" borderId="10" xfId="0" applyNumberFormat="1" applyFont="1" applyBorder="1" applyAlignment="1">
      <alignment horizontal="center" vertical="center"/>
    </xf>
    <xf numFmtId="211" fontId="15" fillId="0" borderId="10" xfId="0" applyNumberFormat="1" applyFont="1" applyBorder="1" applyAlignment="1">
      <alignment horizontal="center" vertical="center"/>
    </xf>
    <xf numFmtId="199" fontId="15" fillId="33" borderId="10" xfId="0" applyNumberFormat="1" applyFont="1" applyFill="1" applyBorder="1" applyAlignment="1">
      <alignment horizontal="center" vertical="center"/>
    </xf>
    <xf numFmtId="199" fontId="15" fillId="0" borderId="10" xfId="0" applyNumberFormat="1" applyFont="1" applyFill="1" applyBorder="1" applyAlignment="1">
      <alignment horizontal="center" vertical="center"/>
    </xf>
    <xf numFmtId="199" fontId="15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 quotePrefix="1">
      <alignment horizontal="center" vertical="center"/>
    </xf>
    <xf numFmtId="10" fontId="15" fillId="0" borderId="10" xfId="0" applyNumberFormat="1" applyFont="1" applyFill="1" applyBorder="1" applyAlignment="1">
      <alignment horizontal="center" vertical="center"/>
    </xf>
    <xf numFmtId="222" fontId="15" fillId="0" borderId="10" xfId="0" applyNumberFormat="1" applyFont="1" applyBorder="1" applyAlignment="1">
      <alignment horizontal="center" vertical="center"/>
    </xf>
    <xf numFmtId="10" fontId="15" fillId="34" borderId="10" xfId="0" applyNumberFormat="1" applyFont="1" applyFill="1" applyBorder="1" applyAlignment="1">
      <alignment horizontal="center" vertical="center"/>
    </xf>
    <xf numFmtId="216" fontId="15" fillId="0" borderId="10" xfId="0" applyNumberFormat="1" applyFont="1" applyBorder="1" applyAlignment="1">
      <alignment horizontal="center" vertical="center"/>
    </xf>
    <xf numFmtId="216" fontId="15" fillId="0" borderId="10" xfId="0" applyNumberFormat="1" applyFont="1" applyBorder="1" applyAlignment="1">
      <alignment vertical="center"/>
    </xf>
    <xf numFmtId="10" fontId="15" fillId="35" borderId="10" xfId="0" applyNumberFormat="1" applyFont="1" applyFill="1" applyBorder="1" applyAlignment="1">
      <alignment horizontal="center" vertical="center"/>
    </xf>
    <xf numFmtId="211" fontId="15" fillId="0" borderId="10" xfId="0" applyNumberFormat="1" applyFont="1" applyBorder="1" applyAlignment="1">
      <alignment vertical="center"/>
    </xf>
    <xf numFmtId="199" fontId="15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15" fillId="34" borderId="19" xfId="0" applyFont="1" applyFill="1" applyBorder="1" applyAlignment="1">
      <alignment horizontal="center" vertical="center"/>
    </xf>
    <xf numFmtId="206" fontId="15" fillId="34" borderId="10" xfId="0" applyNumberFormat="1" applyFont="1" applyFill="1" applyBorder="1" applyAlignment="1">
      <alignment horizontal="center" vertical="center"/>
    </xf>
    <xf numFmtId="201" fontId="15" fillId="34" borderId="1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99" fontId="15" fillId="0" borderId="16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99" fontId="15" fillId="34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99" fontId="15" fillId="34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99" fontId="15" fillId="0" borderId="0" xfId="0" applyNumberFormat="1" applyFont="1" applyAlignment="1">
      <alignment horizontal="left" vertical="center"/>
    </xf>
    <xf numFmtId="0" fontId="22" fillId="0" borderId="0" xfId="0" applyFont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199" fontId="15" fillId="0" borderId="10" xfId="0" applyNumberFormat="1" applyFont="1" applyBorder="1" applyAlignment="1" applyProtection="1">
      <alignment horizontal="center" vertical="center"/>
      <protection/>
    </xf>
    <xf numFmtId="19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200" fontId="17" fillId="34" borderId="10" xfId="0" applyNumberFormat="1" applyFont="1" applyFill="1" applyBorder="1" applyAlignment="1" applyProtection="1">
      <alignment horizontal="center" vertical="center" wrapText="1"/>
      <protection/>
    </xf>
    <xf numFmtId="204" fontId="15" fillId="0" borderId="0" xfId="0" applyNumberFormat="1" applyFont="1" applyAlignment="1" applyProtection="1">
      <alignment horizontal="center" vertical="center"/>
      <protection/>
    </xf>
    <xf numFmtId="10" fontId="15" fillId="34" borderId="10" xfId="0" applyNumberFormat="1" applyFont="1" applyFill="1" applyBorder="1" applyAlignment="1" applyProtection="1">
      <alignment horizontal="center" vertical="center"/>
      <protection/>
    </xf>
    <xf numFmtId="204" fontId="17" fillId="0" borderId="10" xfId="0" applyNumberFormat="1" applyFont="1" applyBorder="1" applyAlignment="1" applyProtection="1">
      <alignment horizontal="center" vertical="center" wrapText="1"/>
      <protection/>
    </xf>
    <xf numFmtId="10" fontId="17" fillId="0" borderId="12" xfId="0" applyNumberFormat="1" applyFont="1" applyFill="1" applyBorder="1" applyAlignment="1" applyProtection="1">
      <alignment horizontal="center" vertical="center" wrapText="1"/>
      <protection/>
    </xf>
    <xf numFmtId="10" fontId="17" fillId="34" borderId="16" xfId="0" applyNumberFormat="1" applyFont="1" applyFill="1" applyBorder="1" applyAlignment="1" applyProtection="1">
      <alignment horizontal="center" vertical="center" wrapText="1"/>
      <protection/>
    </xf>
    <xf numFmtId="204" fontId="17" fillId="0" borderId="16" xfId="0" applyNumberFormat="1" applyFont="1" applyBorder="1" applyAlignment="1" applyProtection="1">
      <alignment horizontal="center" vertical="center" wrapText="1"/>
      <protection/>
    </xf>
    <xf numFmtId="199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201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201" fontId="15" fillId="34" borderId="10" xfId="0" applyNumberFormat="1" applyFont="1" applyFill="1" applyBorder="1" applyAlignment="1" applyProtection="1">
      <alignment horizontal="center" vertical="center"/>
      <protection locked="0"/>
    </xf>
    <xf numFmtId="199" fontId="15" fillId="0" borderId="10" xfId="0" applyNumberFormat="1" applyFont="1" applyFill="1" applyBorder="1" applyAlignment="1" applyProtection="1">
      <alignment horizontal="center" vertical="center"/>
      <protection/>
    </xf>
    <xf numFmtId="10" fontId="15" fillId="34" borderId="10" xfId="0" applyNumberFormat="1" applyFont="1" applyFill="1" applyBorder="1" applyAlignment="1" applyProtection="1">
      <alignment horizontal="center" vertical="center"/>
      <protection locked="0"/>
    </xf>
    <xf numFmtId="9" fontId="15" fillId="0" borderId="10" xfId="0" applyNumberFormat="1" applyFont="1" applyBorder="1" applyAlignment="1" applyProtection="1">
      <alignment horizontal="center" vertical="center"/>
      <protection/>
    </xf>
    <xf numFmtId="199" fontId="15" fillId="34" borderId="12" xfId="0" applyNumberFormat="1" applyFont="1" applyFill="1" applyBorder="1" applyAlignment="1" applyProtection="1">
      <alignment horizontal="center" vertical="center"/>
      <protection locked="0"/>
    </xf>
    <xf numFmtId="206" fontId="15" fillId="33" borderId="16" xfId="0" applyNumberFormat="1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206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199" fontId="15" fillId="0" borderId="10" xfId="0" applyNumberFormat="1" applyFont="1" applyFill="1" applyBorder="1" applyAlignment="1" applyProtection="1">
      <alignment horizontal="left" vertical="center"/>
      <protection/>
    </xf>
    <xf numFmtId="10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25" fillId="0" borderId="0" xfId="0" applyFont="1" applyAlignment="1">
      <alignment horizontal="justify" vertical="center"/>
    </xf>
    <xf numFmtId="197" fontId="15" fillId="34" borderId="10" xfId="0" applyNumberFormat="1" applyFont="1" applyFill="1" applyBorder="1" applyAlignment="1">
      <alignment horizontal="center" vertical="center"/>
    </xf>
    <xf numFmtId="205" fontId="15" fillId="34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1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99" fontId="15" fillId="0" borderId="1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9" fontId="27" fillId="34" borderId="10" xfId="0" applyNumberFormat="1" applyFont="1" applyFill="1" applyBorder="1" applyAlignment="1" quotePrefix="1">
      <alignment horizontal="center" vertical="center"/>
    </xf>
    <xf numFmtId="9" fontId="27" fillId="34" borderId="10" xfId="0" applyNumberFormat="1" applyFont="1" applyFill="1" applyBorder="1" applyAlignment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10" fontId="27" fillId="34" borderId="10" xfId="0" applyNumberFormat="1" applyFont="1" applyFill="1" applyBorder="1" applyAlignment="1">
      <alignment horizontal="center" vertical="center"/>
    </xf>
    <xf numFmtId="201" fontId="27" fillId="0" borderId="10" xfId="0" applyNumberFormat="1" applyFont="1" applyFill="1" applyBorder="1" applyAlignment="1">
      <alignment horizontal="center" vertical="center"/>
    </xf>
    <xf numFmtId="228" fontId="27" fillId="0" borderId="10" xfId="0" applyNumberFormat="1" applyFont="1" applyBorder="1" applyAlignment="1">
      <alignment horizontal="center" vertical="center"/>
    </xf>
    <xf numFmtId="228" fontId="27" fillId="34" borderId="10" xfId="0" applyNumberFormat="1" applyFont="1" applyFill="1" applyBorder="1" applyAlignment="1">
      <alignment horizontal="center" vertical="center"/>
    </xf>
    <xf numFmtId="199" fontId="27" fillId="0" borderId="10" xfId="0" applyNumberFormat="1" applyFont="1" applyFill="1" applyBorder="1" applyAlignment="1">
      <alignment horizontal="center" vertical="center"/>
    </xf>
    <xf numFmtId="200" fontId="27" fillId="0" borderId="10" xfId="0" applyNumberFormat="1" applyFont="1" applyBorder="1" applyAlignment="1">
      <alignment horizontal="center" vertical="center"/>
    </xf>
    <xf numFmtId="200" fontId="27" fillId="34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186" fontId="15" fillId="0" borderId="10" xfId="0" applyNumberFormat="1" applyFont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textRotation="255"/>
    </xf>
    <xf numFmtId="0" fontId="15" fillId="0" borderId="12" xfId="0" applyFont="1" applyFill="1" applyBorder="1" applyAlignment="1">
      <alignment horizontal="left" vertical="center"/>
    </xf>
    <xf numFmtId="10" fontId="16" fillId="0" borderId="0" xfId="0" applyNumberFormat="1" applyFont="1" applyAlignment="1">
      <alignment vertical="center"/>
    </xf>
    <xf numFmtId="10" fontId="15" fillId="0" borderId="0" xfId="0" applyNumberFormat="1" applyFont="1" applyAlignment="1">
      <alignment horizontal="center" vertical="center"/>
    </xf>
    <xf numFmtId="205" fontId="15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206" fontId="27" fillId="34" borderId="10" xfId="0" applyNumberFormat="1" applyFont="1" applyFill="1" applyBorder="1" applyAlignment="1">
      <alignment horizontal="center" vertical="center"/>
    </xf>
    <xf numFmtId="211" fontId="15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211" fontId="1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21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216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left" vertical="center"/>
    </xf>
    <xf numFmtId="205" fontId="15" fillId="36" borderId="16" xfId="0" applyNumberFormat="1" applyFont="1" applyFill="1" applyBorder="1" applyAlignment="1">
      <alignment horizontal="left" vertical="center"/>
    </xf>
    <xf numFmtId="0" fontId="16" fillId="36" borderId="20" xfId="0" applyFont="1" applyFill="1" applyBorder="1" applyAlignment="1">
      <alignment horizontal="left" vertical="center"/>
    </xf>
    <xf numFmtId="0" fontId="16" fillId="36" borderId="14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0" fontId="15" fillId="34" borderId="16" xfId="0" applyNumberFormat="1" applyFont="1" applyFill="1" applyBorder="1" applyAlignment="1">
      <alignment horizontal="center" vertical="center"/>
    </xf>
    <xf numFmtId="10" fontId="15" fillId="34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199" fontId="15" fillId="0" borderId="12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10" fontId="15" fillId="0" borderId="16" xfId="0" applyNumberFormat="1" applyFont="1" applyBorder="1" applyAlignment="1">
      <alignment horizontal="left" vertical="center"/>
    </xf>
    <xf numFmtId="10" fontId="15" fillId="0" borderId="14" xfId="0" applyNumberFormat="1" applyFont="1" applyBorder="1" applyAlignment="1">
      <alignment horizontal="left" vertical="center"/>
    </xf>
    <xf numFmtId="196" fontId="15" fillId="0" borderId="10" xfId="0" applyNumberFormat="1" applyFont="1" applyBorder="1" applyAlignment="1">
      <alignment horizontal="left" vertical="center"/>
    </xf>
    <xf numFmtId="200" fontId="15" fillId="34" borderId="1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200" fontId="15" fillId="0" borderId="16" xfId="0" applyNumberFormat="1" applyFont="1" applyBorder="1" applyAlignment="1">
      <alignment horizontal="left" vertical="center" wrapText="1"/>
    </xf>
    <xf numFmtId="200" fontId="15" fillId="0" borderId="20" xfId="0" applyNumberFormat="1" applyFont="1" applyBorder="1" applyAlignment="1">
      <alignment horizontal="left" vertical="center" wrapText="1"/>
    </xf>
    <xf numFmtId="200" fontId="15" fillId="0" borderId="14" xfId="0" applyNumberFormat="1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199" fontId="15" fillId="0" borderId="16" xfId="0" applyNumberFormat="1" applyFont="1" applyBorder="1" applyAlignment="1">
      <alignment horizontal="center" vertical="center"/>
    </xf>
    <xf numFmtId="199" fontId="15" fillId="0" borderId="14" xfId="0" applyNumberFormat="1" applyFont="1" applyBorder="1" applyAlignment="1">
      <alignment horizontal="center" vertical="center"/>
    </xf>
    <xf numFmtId="199" fontId="15" fillId="0" borderId="1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11" fontId="15" fillId="0" borderId="20" xfId="0" applyNumberFormat="1" applyFont="1" applyBorder="1" applyAlignment="1">
      <alignment horizontal="center" vertical="center"/>
    </xf>
    <xf numFmtId="211" fontId="15" fillId="0" borderId="14" xfId="0" applyNumberFormat="1" applyFont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5:J56"/>
  <sheetViews>
    <sheetView showGridLines="0" zoomScale="90" zoomScaleNormal="90" zoomScalePageLayoutView="0" workbookViewId="0" topLeftCell="A1">
      <selection activeCell="G39" sqref="G39"/>
    </sheetView>
  </sheetViews>
  <sheetFormatPr defaultColWidth="9.00390625" defaultRowHeight="12" customHeight="1"/>
  <cols>
    <col min="1" max="1" width="3.75390625" style="1" customWidth="1"/>
    <col min="2" max="2" width="8.75390625" style="2" customWidth="1"/>
    <col min="3" max="10" width="8.75390625" style="1" customWidth="1"/>
    <col min="11" max="11" width="3.75390625" style="1" customWidth="1"/>
    <col min="12" max="34" width="8.625" style="1" customWidth="1"/>
    <col min="35" max="16384" width="9.00390625" style="1" customWidth="1"/>
  </cols>
  <sheetData>
    <row r="5" spans="1:10" ht="15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16" spans="1:10" ht="39.75" customHeight="1">
      <c r="A16" s="49" t="s">
        <v>424</v>
      </c>
      <c r="B16" s="49"/>
      <c r="C16" s="49"/>
      <c r="D16" s="49"/>
      <c r="E16" s="49"/>
      <c r="F16" s="49"/>
      <c r="G16" s="49"/>
      <c r="H16" s="49"/>
      <c r="I16" s="49"/>
      <c r="J16" s="49"/>
    </row>
    <row r="54" spans="1:10" s="5" customFormat="1" ht="19.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</row>
    <row r="55" spans="1:10" ht="12" customHeight="1">
      <c r="A55" s="6"/>
      <c r="B55" s="7"/>
      <c r="C55" s="6"/>
      <c r="D55" s="6"/>
      <c r="E55" s="6"/>
      <c r="F55" s="6"/>
      <c r="G55" s="6"/>
      <c r="H55" s="6"/>
      <c r="I55" s="6"/>
      <c r="J55" s="6"/>
    </row>
    <row r="56" spans="1:10" ht="19.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</row>
  </sheetData>
  <sheetProtection/>
  <mergeCells count="3">
    <mergeCell ref="A5:J5"/>
    <mergeCell ref="A54:J54"/>
    <mergeCell ref="A56:J56"/>
  </mergeCells>
  <printOptions horizontalCentered="1"/>
  <pageMargins left="0.5511811023622047" right="0.5511811023622047" top="0.3937007874015748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2:M15"/>
  <sheetViews>
    <sheetView showGridLines="0" zoomScale="90" zoomScaleNormal="90" zoomScalePageLayoutView="0" workbookViewId="0" topLeftCell="A1">
      <selection activeCell="U16" sqref="U16"/>
    </sheetView>
  </sheetViews>
  <sheetFormatPr defaultColWidth="6.625" defaultRowHeight="12" customHeight="1"/>
  <cols>
    <col min="1" max="1" width="6.625" style="51" customWidth="1"/>
    <col min="2" max="2" width="12.00390625" style="17" customWidth="1"/>
    <col min="3" max="3" width="11.50390625" style="17" customWidth="1"/>
    <col min="4" max="4" width="12.375" style="17" customWidth="1"/>
    <col min="5" max="16384" width="6.625" style="51" customWidth="1"/>
  </cols>
  <sheetData>
    <row r="2" spans="1:11" ht="19.5" customHeight="1">
      <c r="A2" s="257" t="s">
        <v>177</v>
      </c>
      <c r="B2" s="258"/>
      <c r="C2" s="258"/>
      <c r="D2" s="258"/>
      <c r="E2" s="50" t="str">
        <f>Instruction!A16&amp;"-Sensitivity Analysis and Calculation"</f>
        <v>Jinshizi Hydropower Station Finance Analysis-Sensitivity Analysis and Calculation</v>
      </c>
      <c r="F2" s="50"/>
      <c r="G2" s="50"/>
      <c r="H2" s="50"/>
      <c r="I2" s="50"/>
      <c r="J2" s="50"/>
      <c r="K2" s="50"/>
    </row>
    <row r="3" spans="1:12" s="136" customFormat="1" ht="18" customHeight="1">
      <c r="A3" s="266" t="s">
        <v>428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s="139" customFormat="1" ht="6" customHeight="1">
      <c r="A4" s="74"/>
      <c r="B4" s="74"/>
      <c r="C4" s="74"/>
      <c r="D4" s="74"/>
      <c r="E4" s="74"/>
      <c r="F4" s="137"/>
      <c r="G4" s="137"/>
      <c r="H4" s="138"/>
      <c r="I4" s="137"/>
      <c r="J4" s="137"/>
      <c r="K4" s="74"/>
      <c r="L4" s="74"/>
    </row>
    <row r="5" spans="1:12" ht="18" customHeight="1">
      <c r="A5" s="251" t="s">
        <v>418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2" ht="12" customHeight="1">
      <c r="A6" s="38" t="s">
        <v>266</v>
      </c>
      <c r="B6" s="259" t="s">
        <v>419</v>
      </c>
      <c r="C6" s="260"/>
      <c r="D6" s="261"/>
      <c r="E6" s="140" t="s">
        <v>178</v>
      </c>
      <c r="F6" s="141" t="s">
        <v>239</v>
      </c>
      <c r="G6" s="141" t="s">
        <v>240</v>
      </c>
      <c r="H6" s="142">
        <v>0</v>
      </c>
      <c r="I6" s="141" t="s">
        <v>241</v>
      </c>
      <c r="J6" s="141" t="s">
        <v>242</v>
      </c>
      <c r="K6" s="264" t="s">
        <v>429</v>
      </c>
      <c r="L6" s="265"/>
    </row>
    <row r="7" spans="1:12" ht="12" customHeight="1">
      <c r="A7" s="252">
        <v>1</v>
      </c>
      <c r="B7" s="254" t="s">
        <v>420</v>
      </c>
      <c r="C7" s="255"/>
      <c r="D7" s="256"/>
      <c r="E7" s="164">
        <f>'Investment Plan'!C12</f>
        <v>0.2184</v>
      </c>
      <c r="F7" s="165">
        <f>$E7*(1+F6)</f>
        <v>0.2402</v>
      </c>
      <c r="G7" s="165">
        <f>$E7*(1+G6)</f>
        <v>0.2293</v>
      </c>
      <c r="H7" s="166">
        <f>$E7*(1+H6)</f>
        <v>0.2184</v>
      </c>
      <c r="I7" s="165">
        <f>$E7*(1+I6)</f>
        <v>0.2075</v>
      </c>
      <c r="J7" s="165">
        <f>$E7*(1+J6)</f>
        <v>0.1966</v>
      </c>
      <c r="K7" s="245" t="s">
        <v>179</v>
      </c>
      <c r="L7" s="246"/>
    </row>
    <row r="8" spans="1:12" ht="12" customHeight="1">
      <c r="A8" s="253"/>
      <c r="B8" s="254" t="s">
        <v>245</v>
      </c>
      <c r="C8" s="255"/>
      <c r="D8" s="256"/>
      <c r="E8" s="143"/>
      <c r="F8" s="144">
        <v>0.0771</v>
      </c>
      <c r="G8" s="144">
        <v>0.0718</v>
      </c>
      <c r="H8" s="145">
        <v>0.0664</v>
      </c>
      <c r="I8" s="144">
        <v>0.061</v>
      </c>
      <c r="J8" s="144">
        <v>0.0554</v>
      </c>
      <c r="K8" s="247"/>
      <c r="L8" s="248"/>
    </row>
    <row r="9" spans="1:12" ht="12" customHeight="1">
      <c r="A9" s="252">
        <v>2</v>
      </c>
      <c r="B9" s="254" t="s">
        <v>421</v>
      </c>
      <c r="C9" s="255"/>
      <c r="D9" s="256"/>
      <c r="E9" s="146">
        <f>'Investment Plan'!C19</f>
        <v>14430</v>
      </c>
      <c r="F9" s="147">
        <f>$E9*(1+F6)</f>
        <v>15873</v>
      </c>
      <c r="G9" s="147">
        <f>$E9*(1+G6)</f>
        <v>15152</v>
      </c>
      <c r="H9" s="148">
        <f>$E9*(1+H6)</f>
        <v>14430</v>
      </c>
      <c r="I9" s="147">
        <f>$E9*(1+I6)</f>
        <v>13709</v>
      </c>
      <c r="J9" s="147">
        <f>$E9*(1+J6)</f>
        <v>12987</v>
      </c>
      <c r="K9" s="247"/>
      <c r="L9" s="248"/>
    </row>
    <row r="10" spans="1:12" ht="12" customHeight="1">
      <c r="A10" s="253"/>
      <c r="B10" s="254" t="s">
        <v>245</v>
      </c>
      <c r="C10" s="255"/>
      <c r="D10" s="256"/>
      <c r="E10" s="149"/>
      <c r="F10" s="144">
        <v>0.057</v>
      </c>
      <c r="G10" s="144">
        <v>0.0615</v>
      </c>
      <c r="H10" s="145">
        <v>0.0664</v>
      </c>
      <c r="I10" s="144">
        <v>0.0718</v>
      </c>
      <c r="J10" s="144">
        <v>0.0777</v>
      </c>
      <c r="K10" s="247"/>
      <c r="L10" s="248"/>
    </row>
    <row r="11" spans="1:12" ht="12" customHeight="1">
      <c r="A11" s="252">
        <v>3</v>
      </c>
      <c r="B11" s="254" t="s">
        <v>422</v>
      </c>
      <c r="C11" s="255"/>
      <c r="D11" s="256"/>
      <c r="E11" s="146">
        <f>('Cost and Income'!E8-'Cost and Income'!E18-'Cost and Income'!E21)</f>
        <v>290</v>
      </c>
      <c r="F11" s="150">
        <f>$E11*(1+F6)</f>
        <v>319</v>
      </c>
      <c r="G11" s="150">
        <f>$E11*(1+G6)</f>
        <v>305</v>
      </c>
      <c r="H11" s="151">
        <f>$E11*(1+H6)</f>
        <v>290</v>
      </c>
      <c r="I11" s="150">
        <f>$E11*(1+I6)</f>
        <v>276</v>
      </c>
      <c r="J11" s="150">
        <f>$E11*(1+J6)</f>
        <v>261</v>
      </c>
      <c r="K11" s="247"/>
      <c r="L11" s="248"/>
    </row>
    <row r="12" spans="1:12" ht="12" customHeight="1">
      <c r="A12" s="253"/>
      <c r="B12" s="254" t="s">
        <v>245</v>
      </c>
      <c r="C12" s="255"/>
      <c r="D12" s="256"/>
      <c r="E12" s="143"/>
      <c r="F12" s="144">
        <v>0.0645</v>
      </c>
      <c r="G12" s="144">
        <v>0.0654</v>
      </c>
      <c r="H12" s="145">
        <v>0.0664</v>
      </c>
      <c r="I12" s="144">
        <v>0.0674</v>
      </c>
      <c r="J12" s="144">
        <v>0.0684</v>
      </c>
      <c r="K12" s="249"/>
      <c r="L12" s="250"/>
    </row>
    <row r="13" spans="1:13" s="154" customFormat="1" ht="15" customHeight="1">
      <c r="A13" s="152" t="s">
        <v>306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153"/>
    </row>
    <row r="14" spans="2:13" s="154" customFormat="1" ht="15" customHeight="1">
      <c r="B14" s="263" t="str">
        <f>IF('Investment Plan'!D43&lt;=0,"","With "&amp;'Investment Plan'!D48&amp;" years CERs, FIRR of total investment is:"&amp;ROUND('Cash Flow'!C44*100,2)&amp;"%。")</f>
        <v>With 21 years CERs, FIRR of total investment is:10.23%。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153"/>
    </row>
    <row r="15" s="154" customFormat="1" ht="15" customHeight="1">
      <c r="M15" s="153"/>
    </row>
  </sheetData>
  <sheetProtection/>
  <mergeCells count="17">
    <mergeCell ref="B14:L14"/>
    <mergeCell ref="K6:L6"/>
    <mergeCell ref="A3:L3"/>
    <mergeCell ref="A2:D2"/>
    <mergeCell ref="B6:D6"/>
    <mergeCell ref="B7:D7"/>
    <mergeCell ref="B8:D8"/>
    <mergeCell ref="B13:L13"/>
    <mergeCell ref="B12:D12"/>
    <mergeCell ref="K7:L12"/>
    <mergeCell ref="A5:L5"/>
    <mergeCell ref="A7:A8"/>
    <mergeCell ref="A9:A10"/>
    <mergeCell ref="A11:A12"/>
    <mergeCell ref="B9:D9"/>
    <mergeCell ref="B10:D10"/>
    <mergeCell ref="B11:D11"/>
  </mergeCells>
  <printOptions horizontalCentered="1"/>
  <pageMargins left="0.7480314960629921" right="0.7480314960629921" top="0.7874015748031497" bottom="0.3937007874015748" header="0.5118110236220472" footer="0.5118110236220472"/>
  <pageSetup horizontalDpi="300" verticalDpi="300" orientation="landscape" paperSize="9" scale="95" r:id="rId1"/>
  <headerFooter alignWithMargins="0">
    <oddFooter xml:space="preserve">&amp;C&amp;10&amp;P+20 </oddFooter>
  </headerFooter>
  <ignoredErrors>
    <ignoredError sqref="F6:J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44"/>
  </sheetPr>
  <dimension ref="A2:E62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8.75390625" defaultRowHeight="12.75" customHeight="1"/>
  <cols>
    <col min="1" max="1" width="7.375" style="51" customWidth="1"/>
    <col min="2" max="2" width="49.25390625" style="17" customWidth="1"/>
    <col min="3" max="3" width="22.25390625" style="51" customWidth="1"/>
    <col min="4" max="4" width="20.75390625" style="51" customWidth="1"/>
    <col min="5" max="5" width="35.25390625" style="51" customWidth="1"/>
    <col min="6" max="16384" width="8.75390625" style="51" customWidth="1"/>
  </cols>
  <sheetData>
    <row r="2" spans="1:5" ht="19.5" customHeight="1">
      <c r="A2" s="136" t="s">
        <v>180</v>
      </c>
      <c r="B2" s="173" t="str">
        <f>Instruction!A16&amp;"-Summary of Indicators"</f>
        <v>Jinshizi Hydropower Station Finance Analysis-Summary of Indicators</v>
      </c>
      <c r="C2" s="173"/>
      <c r="D2" s="173"/>
      <c r="E2" s="173"/>
    </row>
    <row r="3" ht="6" customHeight="1"/>
    <row r="4" spans="1:5" ht="12.75" customHeight="1">
      <c r="A4" s="18" t="s">
        <v>41</v>
      </c>
      <c r="B4" s="8" t="s">
        <v>42</v>
      </c>
      <c r="C4" s="18" t="s">
        <v>181</v>
      </c>
      <c r="D4" s="18" t="s">
        <v>68</v>
      </c>
      <c r="E4" s="18" t="s">
        <v>182</v>
      </c>
    </row>
    <row r="5" spans="1:5" ht="12.75" customHeight="1">
      <c r="A5" s="39" t="s">
        <v>183</v>
      </c>
      <c r="B5" s="40" t="s">
        <v>423</v>
      </c>
      <c r="C5" s="155"/>
      <c r="D5" s="155"/>
      <c r="E5" s="155"/>
    </row>
    <row r="6" spans="1:5" s="130" customFormat="1" ht="12.75" customHeight="1">
      <c r="A6" s="18">
        <v>1</v>
      </c>
      <c r="B6" s="41" t="s">
        <v>184</v>
      </c>
      <c r="C6" s="44" t="s">
        <v>185</v>
      </c>
      <c r="D6" s="132">
        <f>'Operation Cost'!D8</f>
        <v>20000</v>
      </c>
      <c r="E6" s="132"/>
    </row>
    <row r="7" spans="1:5" s="130" customFormat="1" ht="12.75" customHeight="1">
      <c r="A7" s="18">
        <v>2</v>
      </c>
      <c r="B7" s="41" t="s">
        <v>186</v>
      </c>
      <c r="C7" s="44" t="s">
        <v>187</v>
      </c>
      <c r="D7" s="132">
        <f>'Operation Cost'!D11</f>
        <v>4255</v>
      </c>
      <c r="E7" s="132"/>
    </row>
    <row r="8" spans="1:5" s="130" customFormat="1" ht="12.75" customHeight="1">
      <c r="A8" s="18">
        <v>3</v>
      </c>
      <c r="B8" s="13" t="s">
        <v>188</v>
      </c>
      <c r="C8" s="44" t="s">
        <v>189</v>
      </c>
      <c r="D8" s="63">
        <f>'Operation Cost'!D13*100</f>
        <v>90</v>
      </c>
      <c r="E8" s="132"/>
    </row>
    <row r="9" spans="1:5" s="130" customFormat="1" ht="12.75" customHeight="1">
      <c r="A9" s="18">
        <v>4</v>
      </c>
      <c r="B9" s="13" t="s">
        <v>190</v>
      </c>
      <c r="C9" s="44" t="s">
        <v>189</v>
      </c>
      <c r="D9" s="63">
        <f>'Operation Cost'!D15*100</f>
        <v>0.1</v>
      </c>
      <c r="E9" s="132"/>
    </row>
    <row r="10" spans="1:5" s="130" customFormat="1" ht="12.75" customHeight="1">
      <c r="A10" s="18">
        <v>5</v>
      </c>
      <c r="B10" s="13" t="s">
        <v>191</v>
      </c>
      <c r="C10" s="44" t="s">
        <v>189</v>
      </c>
      <c r="D10" s="63">
        <f>'Operation Cost'!D17*100</f>
        <v>0</v>
      </c>
      <c r="E10" s="132"/>
    </row>
    <row r="11" spans="1:5" s="130" customFormat="1" ht="12.75" customHeight="1">
      <c r="A11" s="18">
        <v>6</v>
      </c>
      <c r="B11" s="13" t="s">
        <v>192</v>
      </c>
      <c r="C11" s="44" t="s">
        <v>193</v>
      </c>
      <c r="D11" s="132">
        <f>'Operation Cost'!D18</f>
        <v>7651.3</v>
      </c>
      <c r="E11" s="132"/>
    </row>
    <row r="12" spans="1:5" ht="12.75" customHeight="1">
      <c r="A12" s="18">
        <v>7</v>
      </c>
      <c r="B12" s="13" t="s">
        <v>194</v>
      </c>
      <c r="C12" s="18" t="s">
        <v>195</v>
      </c>
      <c r="D12" s="18">
        <f>'Investment Plan'!C5</f>
        <v>30</v>
      </c>
      <c r="E12" s="13" t="s">
        <v>24</v>
      </c>
    </row>
    <row r="13" spans="1:5" ht="12.75" customHeight="1">
      <c r="A13" s="18">
        <v>8</v>
      </c>
      <c r="B13" s="13" t="s">
        <v>196</v>
      </c>
      <c r="C13" s="8" t="s">
        <v>195</v>
      </c>
      <c r="D13" s="18">
        <f>'Investment Plan'!C6</f>
        <v>20</v>
      </c>
      <c r="E13" s="13" t="s">
        <v>25</v>
      </c>
    </row>
    <row r="14" spans="1:5" ht="12.75" customHeight="1">
      <c r="A14" s="18"/>
      <c r="B14" s="13" t="s">
        <v>197</v>
      </c>
      <c r="C14" s="19" t="s">
        <v>189</v>
      </c>
      <c r="D14" s="156">
        <f>'Investment Plan'!C7*100</f>
        <v>100</v>
      </c>
      <c r="E14" s="13" t="s">
        <v>26</v>
      </c>
    </row>
    <row r="15" spans="1:5" ht="12.75" customHeight="1">
      <c r="A15" s="18"/>
      <c r="B15" s="13" t="s">
        <v>0</v>
      </c>
      <c r="C15" s="19" t="s">
        <v>189</v>
      </c>
      <c r="D15" s="156">
        <f>'Investment Plan'!C8*100</f>
        <v>0</v>
      </c>
      <c r="E15" s="13" t="s">
        <v>27</v>
      </c>
    </row>
    <row r="16" spans="1:5" ht="12.75" customHeight="1">
      <c r="A16" s="18"/>
      <c r="B16" s="13" t="s">
        <v>198</v>
      </c>
      <c r="C16" s="19" t="s">
        <v>189</v>
      </c>
      <c r="D16" s="156">
        <f>'Investment Plan'!C9*100</f>
        <v>5</v>
      </c>
      <c r="E16" s="13" t="s">
        <v>28</v>
      </c>
    </row>
    <row r="17" spans="1:5" ht="12.75" customHeight="1">
      <c r="A17" s="18">
        <v>9</v>
      </c>
      <c r="B17" s="13" t="s">
        <v>1</v>
      </c>
      <c r="C17" s="19" t="s">
        <v>189</v>
      </c>
      <c r="D17" s="156">
        <f>'Investment Plan'!C10*100</f>
        <v>5.76</v>
      </c>
      <c r="E17" s="16" t="s">
        <v>286</v>
      </c>
    </row>
    <row r="18" spans="1:5" ht="12.75" customHeight="1">
      <c r="A18" s="18">
        <v>10</v>
      </c>
      <c r="B18" s="42" t="s">
        <v>199</v>
      </c>
      <c r="C18" s="45" t="s">
        <v>189</v>
      </c>
      <c r="D18" s="156">
        <f>'Investment Plan'!C11*100</f>
        <v>0</v>
      </c>
      <c r="E18" s="16" t="s">
        <v>200</v>
      </c>
    </row>
    <row r="19" spans="1:5" ht="12.75" customHeight="1">
      <c r="A19" s="18">
        <v>11</v>
      </c>
      <c r="B19" s="10" t="s">
        <v>201</v>
      </c>
      <c r="C19" s="46" t="s">
        <v>18</v>
      </c>
      <c r="D19" s="157">
        <f>'Investment Plan'!C12</f>
        <v>0.218</v>
      </c>
      <c r="E19" s="13" t="s">
        <v>29</v>
      </c>
    </row>
    <row r="20" spans="1:5" ht="12.75" customHeight="1">
      <c r="A20" s="18">
        <v>12</v>
      </c>
      <c r="B20" s="10" t="s">
        <v>202</v>
      </c>
      <c r="C20" s="46" t="s">
        <v>19</v>
      </c>
      <c r="D20" s="158">
        <f>IF(D21=0,0,'Investment Plan'!D42)</f>
        <v>58279</v>
      </c>
      <c r="E20" s="36"/>
    </row>
    <row r="21" spans="1:5" ht="12.75" customHeight="1">
      <c r="A21" s="18">
        <v>13</v>
      </c>
      <c r="B21" s="13" t="s">
        <v>203</v>
      </c>
      <c r="C21" s="46" t="s">
        <v>20</v>
      </c>
      <c r="D21" s="158">
        <f>'Investment Plan'!D43</f>
        <v>80</v>
      </c>
      <c r="E21" s="36"/>
    </row>
    <row r="22" spans="1:5" ht="12.75" customHeight="1">
      <c r="A22" s="18">
        <v>14</v>
      </c>
      <c r="B22" s="13" t="s">
        <v>204</v>
      </c>
      <c r="C22" s="46" t="s">
        <v>21</v>
      </c>
      <c r="D22" s="156">
        <f>IF(D21=0,0,'Investment Plan'!D48)</f>
        <v>21</v>
      </c>
      <c r="E22" s="36"/>
    </row>
    <row r="23" spans="1:5" ht="12.75" customHeight="1">
      <c r="A23" s="18">
        <v>15</v>
      </c>
      <c r="B23" s="13" t="s">
        <v>205</v>
      </c>
      <c r="C23" s="46" t="s">
        <v>22</v>
      </c>
      <c r="D23" s="156">
        <f>'Investment Plan'!D47</f>
        <v>447.58</v>
      </c>
      <c r="E23" s="36" t="str">
        <f>IF(D21=0,0,"Income after tax. "&amp;'Investment Plan'!F47)</f>
        <v>Income after tax. 21years'income is 9399.18 ten thousand yuan.</v>
      </c>
    </row>
    <row r="24" spans="1:5" ht="6" customHeight="1">
      <c r="A24" s="174"/>
      <c r="B24" s="175"/>
      <c r="C24" s="175"/>
      <c r="D24" s="175"/>
      <c r="E24" s="176"/>
    </row>
    <row r="25" spans="1:5" ht="12.75" customHeight="1">
      <c r="A25" s="43" t="s">
        <v>206</v>
      </c>
      <c r="B25" s="40" t="s">
        <v>2</v>
      </c>
      <c r="C25" s="155"/>
      <c r="D25" s="155"/>
      <c r="E25" s="155"/>
    </row>
    <row r="26" spans="1:5" ht="12.75" customHeight="1">
      <c r="A26" s="18">
        <v>1</v>
      </c>
      <c r="B26" s="13" t="s">
        <v>287</v>
      </c>
      <c r="C26" s="46" t="s">
        <v>23</v>
      </c>
      <c r="D26" s="60">
        <f>'Investment Plan'!C18</f>
        <v>14885.67</v>
      </c>
      <c r="E26" s="18"/>
    </row>
    <row r="27" spans="1:5" ht="12.75" customHeight="1">
      <c r="A27" s="18"/>
      <c r="B27" s="13" t="s">
        <v>207</v>
      </c>
      <c r="C27" s="46" t="s">
        <v>208</v>
      </c>
      <c r="D27" s="60">
        <f>'Investment Plan'!C19</f>
        <v>14430</v>
      </c>
      <c r="E27" s="13" t="s">
        <v>30</v>
      </c>
    </row>
    <row r="28" spans="1:5" ht="12.75" customHeight="1">
      <c r="A28" s="18"/>
      <c r="B28" s="13" t="s">
        <v>209</v>
      </c>
      <c r="C28" s="46" t="s">
        <v>210</v>
      </c>
      <c r="D28" s="60">
        <f>'Investment Plan'!C20</f>
        <v>449.67</v>
      </c>
      <c r="E28" s="18"/>
    </row>
    <row r="29" spans="1:5" ht="12.75" customHeight="1">
      <c r="A29" s="18"/>
      <c r="B29" s="13" t="s">
        <v>211</v>
      </c>
      <c r="C29" s="46" t="s">
        <v>210</v>
      </c>
      <c r="D29" s="60">
        <f>'Investment Plan'!C21</f>
        <v>6</v>
      </c>
      <c r="E29" s="18"/>
    </row>
    <row r="30" spans="1:5" ht="12.75" customHeight="1">
      <c r="A30" s="18">
        <v>2</v>
      </c>
      <c r="B30" s="13" t="s">
        <v>212</v>
      </c>
      <c r="C30" s="46" t="s">
        <v>210</v>
      </c>
      <c r="D30" s="60">
        <f>'Investment Plan'!C32</f>
        <v>14879.67</v>
      </c>
      <c r="E30" s="13" t="s">
        <v>31</v>
      </c>
    </row>
    <row r="31" spans="1:5" ht="12.75" customHeight="1">
      <c r="A31" s="18">
        <v>3</v>
      </c>
      <c r="B31" s="13" t="s">
        <v>3</v>
      </c>
      <c r="C31" s="46" t="s">
        <v>210</v>
      </c>
      <c r="D31" s="60">
        <f>'Investment Plan'!C24</f>
        <v>6740</v>
      </c>
      <c r="E31" s="18"/>
    </row>
    <row r="32" spans="1:5" ht="12.75" customHeight="1">
      <c r="A32" s="18"/>
      <c r="B32" s="13" t="s">
        <v>213</v>
      </c>
      <c r="C32" s="46" t="s">
        <v>210</v>
      </c>
      <c r="D32" s="60">
        <f>'Investment Plan'!C25</f>
        <v>6</v>
      </c>
      <c r="E32" s="18"/>
    </row>
    <row r="33" spans="1:5" ht="12.75" customHeight="1">
      <c r="A33" s="18"/>
      <c r="B33" s="13" t="s">
        <v>214</v>
      </c>
      <c r="C33" s="46" t="s">
        <v>210</v>
      </c>
      <c r="D33" s="60">
        <f>'Investment Plan'!C26+'Investment Plan'!C27</f>
        <v>6734</v>
      </c>
      <c r="E33" s="10" t="s">
        <v>215</v>
      </c>
    </row>
    <row r="34" spans="1:5" ht="12.75" customHeight="1">
      <c r="A34" s="18">
        <v>4</v>
      </c>
      <c r="B34" s="13" t="s">
        <v>4</v>
      </c>
      <c r="C34" s="46" t="s">
        <v>210</v>
      </c>
      <c r="D34" s="60">
        <f>'Investment Plan'!C28</f>
        <v>8145.67</v>
      </c>
      <c r="E34" s="13" t="s">
        <v>216</v>
      </c>
    </row>
    <row r="35" spans="1:5" ht="12.75" customHeight="1">
      <c r="A35" s="18"/>
      <c r="B35" s="13" t="s">
        <v>217</v>
      </c>
      <c r="C35" s="46" t="s">
        <v>210</v>
      </c>
      <c r="D35" s="60">
        <f>'Investment Plan'!C29</f>
        <v>7696</v>
      </c>
      <c r="E35" s="18"/>
    </row>
    <row r="36" spans="1:5" ht="12.75" customHeight="1">
      <c r="A36" s="18"/>
      <c r="B36" s="13" t="s">
        <v>218</v>
      </c>
      <c r="C36" s="46" t="s">
        <v>210</v>
      </c>
      <c r="D36" s="60">
        <f>'Investment Plan'!C30</f>
        <v>449.67</v>
      </c>
      <c r="E36" s="13" t="s">
        <v>289</v>
      </c>
    </row>
    <row r="37" spans="1:5" ht="12.75" customHeight="1">
      <c r="A37" s="18">
        <v>5</v>
      </c>
      <c r="B37" s="13" t="s">
        <v>219</v>
      </c>
      <c r="C37" s="46" t="s">
        <v>210</v>
      </c>
      <c r="D37" s="60">
        <f>'Investment Plan'!C31</f>
        <v>0</v>
      </c>
      <c r="E37" s="36"/>
    </row>
    <row r="38" spans="1:5" ht="12.75" customHeight="1">
      <c r="A38" s="18">
        <v>6</v>
      </c>
      <c r="B38" s="13" t="s">
        <v>220</v>
      </c>
      <c r="C38" s="46" t="s">
        <v>221</v>
      </c>
      <c r="D38" s="60">
        <f>'Operation Cost'!D10</f>
        <v>7439.84</v>
      </c>
      <c r="E38" s="18"/>
    </row>
    <row r="39" spans="1:5" ht="6" customHeight="1">
      <c r="A39" s="174"/>
      <c r="B39" s="175"/>
      <c r="C39" s="175"/>
      <c r="D39" s="175"/>
      <c r="E39" s="176"/>
    </row>
    <row r="40" spans="1:5" ht="12.75" customHeight="1">
      <c r="A40" s="43" t="s">
        <v>222</v>
      </c>
      <c r="B40" s="40" t="s">
        <v>5</v>
      </c>
      <c r="C40" s="155"/>
      <c r="D40" s="155"/>
      <c r="E40" s="155"/>
    </row>
    <row r="41" spans="1:5" ht="12.75" customHeight="1">
      <c r="A41" s="18">
        <v>1</v>
      </c>
      <c r="B41" s="13" t="s">
        <v>6</v>
      </c>
      <c r="C41" s="18" t="s">
        <v>223</v>
      </c>
      <c r="D41" s="60">
        <f>'Cost and Income'!C22*100</f>
        <v>6.24</v>
      </c>
      <c r="E41" s="13" t="s">
        <v>32</v>
      </c>
    </row>
    <row r="42" spans="1:5" ht="12.75" customHeight="1">
      <c r="A42" s="18"/>
      <c r="B42" s="13" t="s">
        <v>224</v>
      </c>
      <c r="C42" s="18" t="s">
        <v>223</v>
      </c>
      <c r="D42" s="60">
        <f>'Cost and Income'!C23*100</f>
        <v>6</v>
      </c>
      <c r="E42" s="13" t="s">
        <v>33</v>
      </c>
    </row>
    <row r="43" spans="1:5" ht="12.75" customHeight="1">
      <c r="A43" s="18"/>
      <c r="B43" s="13" t="s">
        <v>225</v>
      </c>
      <c r="C43" s="18" t="s">
        <v>223</v>
      </c>
      <c r="D43" s="60">
        <f>'Cost and Income'!C24*100</f>
        <v>3</v>
      </c>
      <c r="E43" s="13" t="s">
        <v>34</v>
      </c>
    </row>
    <row r="44" spans="1:5" ht="12.75" customHeight="1">
      <c r="A44" s="18"/>
      <c r="B44" s="13" t="s">
        <v>226</v>
      </c>
      <c r="C44" s="18" t="s">
        <v>223</v>
      </c>
      <c r="D44" s="60">
        <f>'Cost and Income'!C25*100</f>
        <v>1</v>
      </c>
      <c r="E44" s="13" t="s">
        <v>34</v>
      </c>
    </row>
    <row r="45" spans="1:5" ht="12.75" customHeight="1">
      <c r="A45" s="18">
        <v>2</v>
      </c>
      <c r="B45" s="13" t="s">
        <v>7</v>
      </c>
      <c r="C45" s="18" t="s">
        <v>223</v>
      </c>
      <c r="D45" s="60">
        <f>'Cost and Income'!C27*100</f>
        <v>33</v>
      </c>
      <c r="E45" s="36" t="str">
        <f>IF('Cost and Income'!B27="所得税","",'Cost and Income'!B27)</f>
        <v>Income tax</v>
      </c>
    </row>
    <row r="46" spans="1:5" ht="12.75" customHeight="1">
      <c r="A46" s="18">
        <v>3</v>
      </c>
      <c r="B46" s="13" t="s">
        <v>8</v>
      </c>
      <c r="C46" s="18" t="s">
        <v>223</v>
      </c>
      <c r="D46" s="60">
        <f>'Cost and Income'!C29*100</f>
        <v>10</v>
      </c>
      <c r="E46" s="269" t="s">
        <v>35</v>
      </c>
    </row>
    <row r="47" spans="1:5" ht="12.75" customHeight="1">
      <c r="A47" s="18">
        <v>4</v>
      </c>
      <c r="B47" s="13" t="s">
        <v>9</v>
      </c>
      <c r="C47" s="18" t="s">
        <v>223</v>
      </c>
      <c r="D47" s="60">
        <f>'Cost and Income'!C30*100</f>
        <v>5</v>
      </c>
      <c r="E47" s="270"/>
    </row>
    <row r="48" spans="1:5" ht="12.75" customHeight="1">
      <c r="A48" s="18">
        <v>5</v>
      </c>
      <c r="B48" s="13" t="s">
        <v>10</v>
      </c>
      <c r="C48" s="18" t="s">
        <v>223</v>
      </c>
      <c r="D48" s="60">
        <f>'Cost and Income'!C31*100</f>
        <v>0</v>
      </c>
      <c r="E48" s="18"/>
    </row>
    <row r="49" spans="1:5" ht="12.75" customHeight="1">
      <c r="A49" s="18">
        <v>6</v>
      </c>
      <c r="B49" s="13" t="s">
        <v>227</v>
      </c>
      <c r="C49" s="46" t="s">
        <v>18</v>
      </c>
      <c r="D49" s="18">
        <f>'Cost and Income'!C10</f>
        <v>0.001</v>
      </c>
      <c r="E49" s="13" t="s">
        <v>36</v>
      </c>
    </row>
    <row r="50" spans="1:5" ht="12.75" customHeight="1">
      <c r="A50" s="18">
        <v>7</v>
      </c>
      <c r="B50" s="13" t="s">
        <v>11</v>
      </c>
      <c r="C50" s="18" t="s">
        <v>223</v>
      </c>
      <c r="D50" s="60">
        <f>'Cost and Income'!C15*100</f>
        <v>0.25</v>
      </c>
      <c r="E50" s="13" t="s">
        <v>37</v>
      </c>
    </row>
    <row r="51" spans="1:5" ht="6" customHeight="1">
      <c r="A51" s="174"/>
      <c r="B51" s="175"/>
      <c r="C51" s="175"/>
      <c r="D51" s="175"/>
      <c r="E51" s="176"/>
    </row>
    <row r="52" spans="1:5" ht="12.75" customHeight="1">
      <c r="A52" s="43" t="s">
        <v>228</v>
      </c>
      <c r="B52" s="40" t="s">
        <v>12</v>
      </c>
      <c r="C52" s="155"/>
      <c r="D52" s="155"/>
      <c r="E52" s="155"/>
    </row>
    <row r="53" spans="1:5" ht="12.75" customHeight="1">
      <c r="A53" s="159">
        <v>1</v>
      </c>
      <c r="B53" s="13" t="s">
        <v>13</v>
      </c>
      <c r="C53" s="46" t="s">
        <v>210</v>
      </c>
      <c r="D53" s="63">
        <f>'Cash Flow'!C34</f>
        <v>255.51</v>
      </c>
      <c r="E53" s="160" t="str">
        <f>"Total investment, discount rate Ic = "&amp;'Cash Flow'!C33*100&amp;" %。"</f>
        <v>Total investment, discount rate Ic = 10 %。</v>
      </c>
    </row>
    <row r="54" spans="1:5" ht="12.75" customHeight="1">
      <c r="A54" s="159">
        <v>2</v>
      </c>
      <c r="B54" s="271" t="s">
        <v>229</v>
      </c>
      <c r="C54" s="132" t="s">
        <v>223</v>
      </c>
      <c r="D54" s="132">
        <f>IF('Investment Plan'!D43&lt;=0,0,'Cash Flow'!C44*100)</f>
        <v>10.23</v>
      </c>
      <c r="E54" s="160" t="str">
        <f>IF(D54&lt;=0,0,"Return rate after-tax with "&amp;'Investment Plan'!D48&amp;" years CERs.")</f>
        <v>Return rate after-tax with 21 years CERs.</v>
      </c>
    </row>
    <row r="55" spans="1:5" ht="12.75" customHeight="1">
      <c r="A55" s="159">
        <v>3</v>
      </c>
      <c r="B55" s="271"/>
      <c r="C55" s="132" t="s">
        <v>223</v>
      </c>
      <c r="D55" s="63">
        <f>'Sensitivity Analysis'!H8*100</f>
        <v>6.64</v>
      </c>
      <c r="E55" s="160" t="str">
        <f>IF(D21=0,0,"Return rate after-tax without CERs.")</f>
        <v>Return rate after-tax without CERs.</v>
      </c>
    </row>
    <row r="56" spans="1:5" ht="12.75" customHeight="1">
      <c r="A56" s="159">
        <v>4</v>
      </c>
      <c r="B56" s="13" t="s">
        <v>14</v>
      </c>
      <c r="C56" s="18" t="s">
        <v>230</v>
      </c>
      <c r="D56" s="60">
        <f>'Repayment of Principal'!D31</f>
        <v>9.19</v>
      </c>
      <c r="E56" s="272" t="str">
        <f>"Including "&amp;MAX('Investment Plan'!D17:F17)&amp;" years Construction Period."</f>
        <v>Including 2 years Construction Period.</v>
      </c>
    </row>
    <row r="57" spans="1:5" ht="12.75" customHeight="1">
      <c r="A57" s="159">
        <v>5</v>
      </c>
      <c r="B57" s="13" t="s">
        <v>15</v>
      </c>
      <c r="C57" s="18" t="s">
        <v>230</v>
      </c>
      <c r="D57" s="8">
        <f>'Cash Flow'!C43</f>
        <v>10.77</v>
      </c>
      <c r="E57" s="273"/>
    </row>
    <row r="58" spans="1:5" ht="12.75" customHeight="1">
      <c r="A58" s="159">
        <v>6</v>
      </c>
      <c r="B58" s="13" t="s">
        <v>231</v>
      </c>
      <c r="C58" s="18"/>
      <c r="D58" s="18">
        <f>'Repayment of Principal'!D32</f>
        <v>31.01</v>
      </c>
      <c r="E58" s="47" t="s">
        <v>38</v>
      </c>
    </row>
    <row r="59" spans="1:5" ht="12.75" customHeight="1">
      <c r="A59" s="159">
        <v>7</v>
      </c>
      <c r="B59" s="13" t="s">
        <v>232</v>
      </c>
      <c r="C59" s="18"/>
      <c r="D59" s="60">
        <f>'Repayment of Principal'!D33</f>
        <v>1.53</v>
      </c>
      <c r="E59" s="48" t="s">
        <v>39</v>
      </c>
    </row>
    <row r="60" spans="1:5" ht="12.75" customHeight="1">
      <c r="A60" s="159">
        <v>8</v>
      </c>
      <c r="B60" s="13" t="s">
        <v>16</v>
      </c>
      <c r="C60" s="18" t="s">
        <v>223</v>
      </c>
      <c r="D60" s="60">
        <f>'Cost and Income'!D37*100</f>
        <v>6.32</v>
      </c>
      <c r="E60" s="48" t="s">
        <v>233</v>
      </c>
    </row>
    <row r="61" spans="1:5" ht="12.75" customHeight="1">
      <c r="A61" s="159">
        <v>9</v>
      </c>
      <c r="B61" s="13" t="s">
        <v>17</v>
      </c>
      <c r="C61" s="18" t="s">
        <v>223</v>
      </c>
      <c r="D61" s="60">
        <f>'Cost and Income'!D38*100</f>
        <v>5.31</v>
      </c>
      <c r="E61" s="47" t="s">
        <v>234</v>
      </c>
    </row>
    <row r="62" spans="1:5" ht="12.75" customHeight="1">
      <c r="A62" s="51" t="s">
        <v>235</v>
      </c>
      <c r="B62" s="268" t="str">
        <f>IF(D21=0,0," 1～2 and 4～9 indicators in calculation parameters are indicator with "&amp;'Investment Plan'!D48&amp;" years' CERs.")</f>
        <v> 1～2 and 4～9 indicators in calculation parameters are indicator with 21 years' CERs.</v>
      </c>
      <c r="C62" s="268"/>
      <c r="D62" s="268"/>
      <c r="E62" s="268"/>
    </row>
  </sheetData>
  <sheetProtection/>
  <mergeCells count="8">
    <mergeCell ref="B62:E62"/>
    <mergeCell ref="B2:E2"/>
    <mergeCell ref="A39:E39"/>
    <mergeCell ref="A24:E24"/>
    <mergeCell ref="E46:E47"/>
    <mergeCell ref="A51:E51"/>
    <mergeCell ref="B54:B55"/>
    <mergeCell ref="E56:E5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5" r:id="rId1"/>
  <headerFooter alignWithMargins="0">
    <oddFooter xml:space="preserve">&amp;C&amp;P+21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2:AJ50"/>
  <sheetViews>
    <sheetView showGridLines="0" showZeros="0" tabSelected="1" zoomScale="90" zoomScaleNormal="90" zoomScaleSheetLayoutView="85" zoomScalePageLayoutView="0" workbookViewId="0" topLeftCell="A16">
      <selection activeCell="C54" sqref="C54"/>
    </sheetView>
  </sheetViews>
  <sheetFormatPr defaultColWidth="9.00390625" defaultRowHeight="12" customHeight="1"/>
  <cols>
    <col min="1" max="1" width="5.625" style="17" customWidth="1"/>
    <col min="2" max="2" width="38.375" style="17" customWidth="1"/>
    <col min="3" max="3" width="10.75390625" style="51" customWidth="1"/>
    <col min="4" max="6" width="9.75390625" style="51" customWidth="1"/>
    <col min="7" max="7" width="10.25390625" style="51" customWidth="1"/>
    <col min="8" max="24" width="9.75390625" style="51" customWidth="1"/>
    <col min="25" max="34" width="9.25390625" style="51" customWidth="1"/>
    <col min="35" max="36" width="9.50390625" style="51" customWidth="1"/>
    <col min="37" max="16384" width="9.00390625" style="51" customWidth="1"/>
  </cols>
  <sheetData>
    <row r="2" spans="1:33" ht="19.5" customHeight="1">
      <c r="A2" s="181" t="s">
        <v>40</v>
      </c>
      <c r="B2" s="181"/>
      <c r="C2" s="173" t="str">
        <f>Instruction!A16&amp;"-Cash Flows (Total Investment)"</f>
        <v>Jinshizi Hydropower Station Finance Analysis-Cash Flows (Total Investment)</v>
      </c>
      <c r="D2" s="173"/>
      <c r="E2" s="173"/>
      <c r="F2" s="173"/>
      <c r="G2" s="173"/>
      <c r="H2" s="173"/>
      <c r="I2" s="173"/>
      <c r="J2" s="173"/>
      <c r="K2" s="50"/>
      <c r="L2" s="50"/>
      <c r="M2" s="50"/>
      <c r="N2" s="173" t="str">
        <f>C2</f>
        <v>Jinshizi Hydropower Station Finance Analysis-Cash Flows (Total Investment)</v>
      </c>
      <c r="O2" s="173"/>
      <c r="P2" s="173"/>
      <c r="Q2" s="173"/>
      <c r="R2" s="173"/>
      <c r="S2" s="173"/>
      <c r="T2" s="173"/>
      <c r="U2" s="173"/>
      <c r="Y2" s="173" t="str">
        <f>N2</f>
        <v>Jinshizi Hydropower Station Finance Analysis-Cash Flows (Total Investment)</v>
      </c>
      <c r="Z2" s="173"/>
      <c r="AA2" s="173"/>
      <c r="AB2" s="173"/>
      <c r="AC2" s="173"/>
      <c r="AD2" s="173"/>
      <c r="AE2" s="173"/>
      <c r="AF2" s="173"/>
      <c r="AG2" s="173"/>
    </row>
    <row r="3" spans="12:13" ht="12" customHeight="1">
      <c r="L3" s="52"/>
      <c r="M3" s="52"/>
    </row>
    <row r="4" spans="1:36" ht="12" customHeight="1">
      <c r="A4" s="189" t="s">
        <v>41</v>
      </c>
      <c r="B4" s="189" t="s">
        <v>42</v>
      </c>
      <c r="C4" s="171" t="s">
        <v>43</v>
      </c>
      <c r="D4" s="177" t="s">
        <v>44</v>
      </c>
      <c r="E4" s="178"/>
      <c r="F4" s="179"/>
      <c r="G4" s="172" t="s">
        <v>45</v>
      </c>
      <c r="H4" s="172"/>
      <c r="I4" s="172"/>
      <c r="J4" s="172"/>
      <c r="K4" s="172"/>
      <c r="L4" s="172"/>
      <c r="M4" s="172"/>
      <c r="N4" s="174" t="str">
        <f>G4</f>
        <v>Operation Period (year)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 t="str">
        <f>N4</f>
        <v>Operation Period (year)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</row>
    <row r="5" spans="1:36" ht="12" customHeight="1">
      <c r="A5" s="190"/>
      <c r="B5" s="190"/>
      <c r="C5" s="172"/>
      <c r="D5" s="53">
        <f>'Investment Plan'!D17</f>
        <v>0</v>
      </c>
      <c r="E5" s="53">
        <f>'Investment Plan'!E17</f>
        <v>1</v>
      </c>
      <c r="F5" s="53">
        <f>'Investment Plan'!F17</f>
        <v>2</v>
      </c>
      <c r="G5" s="53">
        <f>IF(1&lt;='Investment Plan'!$C5,1,0)</f>
        <v>1</v>
      </c>
      <c r="H5" s="53">
        <f>IF(2&lt;='Investment Plan'!$C5,2,0)</f>
        <v>2</v>
      </c>
      <c r="I5" s="53">
        <f>IF(3&lt;='Investment Plan'!$C5,3,0)</f>
        <v>3</v>
      </c>
      <c r="J5" s="53">
        <f>IF(4&lt;='Investment Plan'!$C5,4,0)</f>
        <v>4</v>
      </c>
      <c r="K5" s="53">
        <f>IF(5&lt;='Investment Plan'!$C5,5,0)</f>
        <v>5</v>
      </c>
      <c r="L5" s="53">
        <f>IF(6&lt;='Investment Plan'!$C5,6,0)</f>
        <v>6</v>
      </c>
      <c r="M5" s="53">
        <f>IF(7&lt;='Investment Plan'!$C5,7,0)</f>
        <v>7</v>
      </c>
      <c r="N5" s="53">
        <f>IF(8&lt;='Investment Plan'!$C5,8,0)</f>
        <v>8</v>
      </c>
      <c r="O5" s="53">
        <f>IF(9&lt;='Investment Plan'!$C5,9,0)</f>
        <v>9</v>
      </c>
      <c r="P5" s="53">
        <f>IF(10&lt;='Investment Plan'!$C5,10,0)</f>
        <v>10</v>
      </c>
      <c r="Q5" s="53">
        <f>IF(11&lt;='Investment Plan'!$C5,11,0)</f>
        <v>11</v>
      </c>
      <c r="R5" s="53">
        <f>IF(12&lt;='Investment Plan'!$C5,12,0)</f>
        <v>12</v>
      </c>
      <c r="S5" s="53">
        <f>IF(13&lt;='Investment Plan'!$C5,13,0)</f>
        <v>13</v>
      </c>
      <c r="T5" s="53">
        <f>IF(14&lt;='Investment Plan'!$C5,14,0)</f>
        <v>14</v>
      </c>
      <c r="U5" s="53">
        <f>IF(15&lt;='Investment Plan'!$C5,15,0)</f>
        <v>15</v>
      </c>
      <c r="V5" s="53">
        <f>IF(16&lt;='Investment Plan'!$C5,16,0)</f>
        <v>16</v>
      </c>
      <c r="W5" s="53">
        <f>IF(17&lt;='Investment Plan'!$C5,17,0)</f>
        <v>17</v>
      </c>
      <c r="X5" s="53">
        <f>IF(18&lt;='Investment Plan'!$C5,18,0)</f>
        <v>18</v>
      </c>
      <c r="Y5" s="53">
        <f>IF(19&lt;='Investment Plan'!$C5,19,0)</f>
        <v>19</v>
      </c>
      <c r="Z5" s="53">
        <f>IF(20&lt;='Investment Plan'!$C5,20,0)</f>
        <v>20</v>
      </c>
      <c r="AA5" s="53">
        <f>IF(21&lt;='Investment Plan'!$C5,21,0)</f>
        <v>21</v>
      </c>
      <c r="AB5" s="53">
        <f>IF(22&lt;='Investment Plan'!$C5,22,0)</f>
        <v>22</v>
      </c>
      <c r="AC5" s="53">
        <f>IF(23&lt;='Investment Plan'!$C5,23,0)</f>
        <v>23</v>
      </c>
      <c r="AD5" s="53">
        <f>IF(24&lt;='Investment Plan'!$C5,24,0)</f>
        <v>24</v>
      </c>
      <c r="AE5" s="53">
        <f>IF(25&lt;='Investment Plan'!$C5,25,0)</f>
        <v>25</v>
      </c>
      <c r="AF5" s="53">
        <f>IF(26&lt;='Investment Plan'!$C5,26,0)</f>
        <v>26</v>
      </c>
      <c r="AG5" s="53">
        <f>IF(27&lt;='Investment Plan'!$C5,27,0)</f>
        <v>27</v>
      </c>
      <c r="AH5" s="53">
        <f>IF(28&lt;='Investment Plan'!$C5,28,0)</f>
        <v>28</v>
      </c>
      <c r="AI5" s="53">
        <f>IF(29&lt;='Investment Plan'!$C5,29,0)</f>
        <v>29</v>
      </c>
      <c r="AJ5" s="53">
        <f>IF(30&lt;='Investment Plan'!$C5,30,0)</f>
        <v>30</v>
      </c>
    </row>
    <row r="6" spans="1:36" ht="12" customHeight="1">
      <c r="A6" s="171" t="s">
        <v>46</v>
      </c>
      <c r="B6" s="10" t="s">
        <v>47</v>
      </c>
      <c r="C6" s="54">
        <f>'Operation Cost'!D8</f>
        <v>20000</v>
      </c>
      <c r="D6" s="54"/>
      <c r="E6" s="54"/>
      <c r="F6" s="54"/>
      <c r="G6" s="55">
        <f>IF(G5&gt;0,'Operation Cost'!$D8,0)</f>
        <v>20000</v>
      </c>
      <c r="H6" s="55">
        <f>IF(H5&gt;0,'Operation Cost'!$D8,0)</f>
        <v>20000</v>
      </c>
      <c r="I6" s="55">
        <f>IF(I5&gt;0,'Operation Cost'!$D8,0)</f>
        <v>20000</v>
      </c>
      <c r="J6" s="55">
        <f>IF(J5&gt;0,'Operation Cost'!$D8,0)</f>
        <v>20000</v>
      </c>
      <c r="K6" s="55">
        <f>IF(K5&gt;0,'Operation Cost'!$D8,0)</f>
        <v>20000</v>
      </c>
      <c r="L6" s="55">
        <f>IF(L5&gt;0,'Operation Cost'!$D8,0)</f>
        <v>20000</v>
      </c>
      <c r="M6" s="55">
        <f>IF(M5&gt;0,'Operation Cost'!$D8,0)</f>
        <v>20000</v>
      </c>
      <c r="N6" s="55">
        <f>IF(N5&gt;0,'Operation Cost'!$D8,0)</f>
        <v>20000</v>
      </c>
      <c r="O6" s="55">
        <f>IF(O5&gt;0,'Operation Cost'!$D8,0)</f>
        <v>20000</v>
      </c>
      <c r="P6" s="55">
        <f>IF(P5&gt;0,'Operation Cost'!$D8,0)</f>
        <v>20000</v>
      </c>
      <c r="Q6" s="55">
        <f>IF(Q5&gt;0,'Operation Cost'!$D8,0)</f>
        <v>20000</v>
      </c>
      <c r="R6" s="55">
        <f>IF(R5&gt;0,'Operation Cost'!$D8,0)</f>
        <v>20000</v>
      </c>
      <c r="S6" s="55">
        <f>IF(S5&gt;0,'Operation Cost'!$D8,0)</f>
        <v>20000</v>
      </c>
      <c r="T6" s="55">
        <f>IF(T5&gt;0,'Operation Cost'!$D8,0)</f>
        <v>20000</v>
      </c>
      <c r="U6" s="55">
        <f>IF(U5&gt;0,'Operation Cost'!$D8,0)</f>
        <v>20000</v>
      </c>
      <c r="V6" s="55">
        <f>IF(V5&gt;0,'Operation Cost'!$D8,0)</f>
        <v>20000</v>
      </c>
      <c r="W6" s="55">
        <f>IF(W5&gt;0,'Operation Cost'!$D8,0)</f>
        <v>20000</v>
      </c>
      <c r="X6" s="55">
        <f>IF(X5&gt;0,'Operation Cost'!$D8,0)</f>
        <v>20000</v>
      </c>
      <c r="Y6" s="55">
        <f>IF(Y5&gt;0,'Operation Cost'!$D8,0)</f>
        <v>20000</v>
      </c>
      <c r="Z6" s="55">
        <f>IF(Z5&gt;0,'Operation Cost'!$D8,0)</f>
        <v>20000</v>
      </c>
      <c r="AA6" s="55">
        <f>IF(AA5&gt;0,'Operation Cost'!$D8,0)</f>
        <v>20000</v>
      </c>
      <c r="AB6" s="55">
        <f>IF(AB5&gt;0,'Operation Cost'!$D8,0)</f>
        <v>20000</v>
      </c>
      <c r="AC6" s="55">
        <f>IF(AC5&gt;0,'Operation Cost'!$D8,0)</f>
        <v>20000</v>
      </c>
      <c r="AD6" s="55">
        <f>IF(AD5&gt;0,'Operation Cost'!$D8,0)</f>
        <v>20000</v>
      </c>
      <c r="AE6" s="55">
        <f>IF(AE5&gt;0,'Operation Cost'!$D8,0)</f>
        <v>20000</v>
      </c>
      <c r="AF6" s="55">
        <f>IF(AF5&gt;0,'Operation Cost'!$D8,0)</f>
        <v>20000</v>
      </c>
      <c r="AG6" s="55">
        <f>IF(AG5&gt;0,'Operation Cost'!$D8,0)</f>
        <v>20000</v>
      </c>
      <c r="AH6" s="55">
        <f>IF(AH5&gt;0,'Operation Cost'!$D8,0)</f>
        <v>20000</v>
      </c>
      <c r="AI6" s="55">
        <f>IF(AI5&gt;0,'Operation Cost'!$D8,0)</f>
        <v>20000</v>
      </c>
      <c r="AJ6" s="55">
        <f>IF(AJ5&gt;0,'Operation Cost'!$D8,0)</f>
        <v>20000</v>
      </c>
    </row>
    <row r="7" spans="1:36" ht="12" customHeight="1">
      <c r="A7" s="172"/>
      <c r="B7" s="10" t="s">
        <v>48</v>
      </c>
      <c r="C7" s="54">
        <f>'Operation Cost'!D11</f>
        <v>4255</v>
      </c>
      <c r="D7" s="54"/>
      <c r="E7" s="54"/>
      <c r="F7" s="54"/>
      <c r="G7" s="55">
        <f>IF(G5&gt;0,'Operation Cost'!$D11,0)</f>
        <v>4255</v>
      </c>
      <c r="H7" s="55">
        <f>IF(H5&gt;0,'Operation Cost'!$D11,0)</f>
        <v>4255</v>
      </c>
      <c r="I7" s="55">
        <f>IF(I5&gt;0,'Operation Cost'!$D11,0)</f>
        <v>4255</v>
      </c>
      <c r="J7" s="55">
        <f>IF(J5&gt;0,'Operation Cost'!$D11,0)</f>
        <v>4255</v>
      </c>
      <c r="K7" s="55">
        <f>IF(K5&gt;0,'Operation Cost'!$D11,0)</f>
        <v>4255</v>
      </c>
      <c r="L7" s="55">
        <f>IF(L5&gt;0,'Operation Cost'!$D11,0)</f>
        <v>4255</v>
      </c>
      <c r="M7" s="55">
        <f>IF(M5&gt;0,'Operation Cost'!$D11,0)</f>
        <v>4255</v>
      </c>
      <c r="N7" s="55">
        <f>IF(N5&gt;0,'Operation Cost'!$D11,0)</f>
        <v>4255</v>
      </c>
      <c r="O7" s="55">
        <f>IF(O5&gt;0,'Operation Cost'!$D11,0)</f>
        <v>4255</v>
      </c>
      <c r="P7" s="55">
        <f>IF(P5&gt;0,'Operation Cost'!$D11,0)</f>
        <v>4255</v>
      </c>
      <c r="Q7" s="55">
        <f>IF(Q5&gt;0,'Operation Cost'!$D11,0)</f>
        <v>4255</v>
      </c>
      <c r="R7" s="55">
        <f>IF(R5&gt;0,'Operation Cost'!$D11,0)</f>
        <v>4255</v>
      </c>
      <c r="S7" s="55">
        <f>IF(S5&gt;0,'Operation Cost'!$D11,0)</f>
        <v>4255</v>
      </c>
      <c r="T7" s="55">
        <f>IF(T5&gt;0,'Operation Cost'!$D11,0)</f>
        <v>4255</v>
      </c>
      <c r="U7" s="55">
        <f>IF(U5&gt;0,'Operation Cost'!$D11,0)</f>
        <v>4255</v>
      </c>
      <c r="V7" s="55">
        <f>IF(V5&gt;0,'Operation Cost'!$D11,0)</f>
        <v>4255</v>
      </c>
      <c r="W7" s="55">
        <f>IF(W5&gt;0,'Operation Cost'!$D11,0)</f>
        <v>4255</v>
      </c>
      <c r="X7" s="55">
        <f>IF(X5&gt;0,'Operation Cost'!$D11,0)</f>
        <v>4255</v>
      </c>
      <c r="Y7" s="55">
        <f>IF(Y5&gt;0,'Operation Cost'!$D11,0)</f>
        <v>4255</v>
      </c>
      <c r="Z7" s="55">
        <f>IF(Z5&gt;0,'Operation Cost'!$D11,0)</f>
        <v>4255</v>
      </c>
      <c r="AA7" s="55">
        <f>IF(AA5&gt;0,'Operation Cost'!$D11,0)</f>
        <v>4255</v>
      </c>
      <c r="AB7" s="55">
        <f>IF(AB5&gt;0,'Operation Cost'!$D11,0)</f>
        <v>4255</v>
      </c>
      <c r="AC7" s="55">
        <f>IF(AC5&gt;0,'Operation Cost'!$D11,0)</f>
        <v>4255</v>
      </c>
      <c r="AD7" s="55">
        <f>IF(AD5&gt;0,'Operation Cost'!$D11,0)</f>
        <v>4255</v>
      </c>
      <c r="AE7" s="55">
        <f>IF(AE5&gt;0,'Operation Cost'!$D11,0)</f>
        <v>4255</v>
      </c>
      <c r="AF7" s="55">
        <f>IF(AF5&gt;0,'Operation Cost'!$D11,0)</f>
        <v>4255</v>
      </c>
      <c r="AG7" s="55">
        <f>IF(AG5&gt;0,'Operation Cost'!$D11,0)</f>
        <v>4255</v>
      </c>
      <c r="AH7" s="55">
        <f>IF(AH5&gt;0,'Operation Cost'!$D11,0)</f>
        <v>4255</v>
      </c>
      <c r="AI7" s="55">
        <f>IF(AI5&gt;0,'Operation Cost'!$D11,0)</f>
        <v>4255</v>
      </c>
      <c r="AJ7" s="55">
        <f>IF(AJ5&gt;0,'Operation Cost'!$D11,0)</f>
        <v>4255</v>
      </c>
    </row>
    <row r="8" spans="1:36" ht="12" customHeight="1">
      <c r="A8" s="172"/>
      <c r="B8" s="10" t="s">
        <v>49</v>
      </c>
      <c r="C8" s="54">
        <f>SUM(G8:AJ8)</f>
        <v>255300</v>
      </c>
      <c r="D8" s="54"/>
      <c r="E8" s="54"/>
      <c r="F8" s="54"/>
      <c r="G8" s="54">
        <f>IF(G5&gt;0,'Operation Cost'!$D12,0)</f>
        <v>8510</v>
      </c>
      <c r="H8" s="54">
        <f>IF(H5&gt;0,'Operation Cost'!$D12,0)</f>
        <v>8510</v>
      </c>
      <c r="I8" s="54">
        <f>IF(I5&gt;0,'Operation Cost'!$D12,0)</f>
        <v>8510</v>
      </c>
      <c r="J8" s="54">
        <f>IF(J5&gt;0,'Operation Cost'!$D12,0)</f>
        <v>8510</v>
      </c>
      <c r="K8" s="54">
        <f>IF(K5&gt;0,'Operation Cost'!$D12,0)</f>
        <v>8510</v>
      </c>
      <c r="L8" s="54">
        <f>IF(L5&gt;0,'Operation Cost'!$D12,0)</f>
        <v>8510</v>
      </c>
      <c r="M8" s="54">
        <f>IF(M5&gt;0,'Operation Cost'!$D12,0)</f>
        <v>8510</v>
      </c>
      <c r="N8" s="54">
        <f>IF(N5&gt;0,'Operation Cost'!$D12,0)</f>
        <v>8510</v>
      </c>
      <c r="O8" s="54">
        <f>IF(O5&gt;0,'Operation Cost'!$D12,0)</f>
        <v>8510</v>
      </c>
      <c r="P8" s="54">
        <f>IF(P5&gt;0,'Operation Cost'!$D12,0)</f>
        <v>8510</v>
      </c>
      <c r="Q8" s="54">
        <f>IF(Q5&gt;0,'Operation Cost'!$D12,0)</f>
        <v>8510</v>
      </c>
      <c r="R8" s="54">
        <f>IF(R5&gt;0,'Operation Cost'!$D12,0)</f>
        <v>8510</v>
      </c>
      <c r="S8" s="54">
        <f>IF(S5&gt;0,'Operation Cost'!$D12,0)</f>
        <v>8510</v>
      </c>
      <c r="T8" s="54">
        <f>IF(T5&gt;0,'Operation Cost'!$D12,0)</f>
        <v>8510</v>
      </c>
      <c r="U8" s="54">
        <f>IF(U5&gt;0,'Operation Cost'!$D12,0)</f>
        <v>8510</v>
      </c>
      <c r="V8" s="54">
        <f>IF(V5&gt;0,'Operation Cost'!$D12,0)</f>
        <v>8510</v>
      </c>
      <c r="W8" s="54">
        <f>IF(W5&gt;0,'Operation Cost'!$D12,0)</f>
        <v>8510</v>
      </c>
      <c r="X8" s="54">
        <f>IF(X5&gt;0,'Operation Cost'!$D12,0)</f>
        <v>8510</v>
      </c>
      <c r="Y8" s="54">
        <f>IF(Y5&gt;0,'Operation Cost'!$D12,0)</f>
        <v>8510</v>
      </c>
      <c r="Z8" s="54">
        <f>IF(Z5&gt;0,'Operation Cost'!$D12,0)</f>
        <v>8510</v>
      </c>
      <c r="AA8" s="54">
        <f>IF(AA5&gt;0,'Operation Cost'!$D12,0)</f>
        <v>8510</v>
      </c>
      <c r="AB8" s="54">
        <f>IF(AB5&gt;0,'Operation Cost'!$D12,0)</f>
        <v>8510</v>
      </c>
      <c r="AC8" s="54">
        <f>IF(AC5&gt;0,'Operation Cost'!$D12,0)</f>
        <v>8510</v>
      </c>
      <c r="AD8" s="54">
        <f>IF(AD5&gt;0,'Operation Cost'!$D12,0)</f>
        <v>8510</v>
      </c>
      <c r="AE8" s="54">
        <f>IF(AE5&gt;0,'Operation Cost'!$D12,0)</f>
        <v>8510</v>
      </c>
      <c r="AF8" s="54">
        <f>IF(AF5&gt;0,'Operation Cost'!$D12,0)</f>
        <v>8510</v>
      </c>
      <c r="AG8" s="54">
        <f>IF(AG5&gt;0,'Operation Cost'!$D12,0)</f>
        <v>8510</v>
      </c>
      <c r="AH8" s="54">
        <f>IF(AH5&gt;0,'Operation Cost'!$D12,0)</f>
        <v>8510</v>
      </c>
      <c r="AI8" s="54">
        <f>IF(AI5&gt;0,'Operation Cost'!$D12,0)</f>
        <v>8510</v>
      </c>
      <c r="AJ8" s="54">
        <f>IF(AJ5&gt;0,'Operation Cost'!$D12,0)</f>
        <v>8510</v>
      </c>
    </row>
    <row r="9" spans="1:36" ht="12" customHeight="1">
      <c r="A9" s="172"/>
      <c r="B9" s="10" t="s">
        <v>50</v>
      </c>
      <c r="C9" s="56">
        <f>SUM(G9:AJ9)</f>
        <v>229539</v>
      </c>
      <c r="D9" s="56"/>
      <c r="E9" s="56"/>
      <c r="F9" s="56"/>
      <c r="G9" s="56">
        <f>IF(G5&gt;0,'Operation Cost'!$D18,0)</f>
        <v>7651.3</v>
      </c>
      <c r="H9" s="56">
        <f>IF(H5&gt;0,'Operation Cost'!$D18,0)</f>
        <v>7651.3</v>
      </c>
      <c r="I9" s="56">
        <f>IF(I5&gt;0,'Operation Cost'!$D18,0)</f>
        <v>7651.3</v>
      </c>
      <c r="J9" s="56">
        <f>IF(J5&gt;0,'Operation Cost'!$D18,0)</f>
        <v>7651.3</v>
      </c>
      <c r="K9" s="56">
        <f>IF(K5&gt;0,'Operation Cost'!$D18,0)</f>
        <v>7651.3</v>
      </c>
      <c r="L9" s="56">
        <f>IF(L5&gt;0,'Operation Cost'!$D18,0)</f>
        <v>7651.3</v>
      </c>
      <c r="M9" s="56">
        <f>IF(M5&gt;0,'Operation Cost'!$D18,0)</f>
        <v>7651.3</v>
      </c>
      <c r="N9" s="56">
        <f>IF(N5&gt;0,'Operation Cost'!$D18,0)</f>
        <v>7651.3</v>
      </c>
      <c r="O9" s="56">
        <f>IF(O5&gt;0,'Operation Cost'!$D18,0)</f>
        <v>7651.3</v>
      </c>
      <c r="P9" s="56">
        <f>IF(P5&gt;0,'Operation Cost'!$D18,0)</f>
        <v>7651.3</v>
      </c>
      <c r="Q9" s="56">
        <f>IF(Q5&gt;0,'Operation Cost'!$D18,0)</f>
        <v>7651.3</v>
      </c>
      <c r="R9" s="56">
        <f>IF(R5&gt;0,'Operation Cost'!$D18,0)</f>
        <v>7651.3</v>
      </c>
      <c r="S9" s="56">
        <f>IF(S5&gt;0,'Operation Cost'!$D18,0)</f>
        <v>7651.3</v>
      </c>
      <c r="T9" s="56">
        <f>IF(T5&gt;0,'Operation Cost'!$D18,0)</f>
        <v>7651.3</v>
      </c>
      <c r="U9" s="56">
        <f>IF(U5&gt;0,'Operation Cost'!$D18,0)</f>
        <v>7651.3</v>
      </c>
      <c r="V9" s="56">
        <f>IF(V5&gt;0,'Operation Cost'!$D18,0)</f>
        <v>7651.3</v>
      </c>
      <c r="W9" s="56">
        <f>IF(W5&gt;0,'Operation Cost'!$D18,0)</f>
        <v>7651.3</v>
      </c>
      <c r="X9" s="56">
        <f>IF(X5&gt;0,'Operation Cost'!$D18,0)</f>
        <v>7651.3</v>
      </c>
      <c r="Y9" s="56">
        <f>IF(Y5&gt;0,'Operation Cost'!$D18,0)</f>
        <v>7651.3</v>
      </c>
      <c r="Z9" s="56">
        <f>IF(Z5&gt;0,'Operation Cost'!$D18,0)</f>
        <v>7651.3</v>
      </c>
      <c r="AA9" s="56">
        <f>IF(AA5&gt;0,'Operation Cost'!$D18,0)</f>
        <v>7651.3</v>
      </c>
      <c r="AB9" s="56">
        <f>IF(AB5&gt;0,'Operation Cost'!$D18,0)</f>
        <v>7651.3</v>
      </c>
      <c r="AC9" s="56">
        <f>IF(AC5&gt;0,'Operation Cost'!$D18,0)</f>
        <v>7651.3</v>
      </c>
      <c r="AD9" s="56">
        <f>IF(AD5&gt;0,'Operation Cost'!$D18,0)</f>
        <v>7651.3</v>
      </c>
      <c r="AE9" s="56">
        <f>IF(AE5&gt;0,'Operation Cost'!$D18,0)</f>
        <v>7651.3</v>
      </c>
      <c r="AF9" s="56">
        <f>IF(AF5&gt;0,'Operation Cost'!$D18,0)</f>
        <v>7651.3</v>
      </c>
      <c r="AG9" s="56">
        <f>IF(AG5&gt;0,'Operation Cost'!$D18,0)</f>
        <v>7651.3</v>
      </c>
      <c r="AH9" s="56">
        <f>IF(AH5&gt;0,'Operation Cost'!$D18,0)</f>
        <v>7651.3</v>
      </c>
      <c r="AI9" s="56">
        <f>IF(AI5&gt;0,'Operation Cost'!$D18,0)</f>
        <v>7651.3</v>
      </c>
      <c r="AJ9" s="56">
        <f>IF(AJ5&gt;0,'Operation Cost'!$D18,0)</f>
        <v>7651.3</v>
      </c>
    </row>
    <row r="10" spans="1:36" ht="12" customHeight="1">
      <c r="A10" s="172"/>
      <c r="B10" s="10" t="s">
        <v>51</v>
      </c>
      <c r="C10" s="58">
        <f>'Investment Plan'!C12</f>
        <v>0.2184</v>
      </c>
      <c r="D10" s="59"/>
      <c r="E10" s="59"/>
      <c r="F10" s="59"/>
      <c r="G10" s="59">
        <f>IF(G5&gt;0,$C10,0)</f>
        <v>0.2184</v>
      </c>
      <c r="H10" s="59">
        <f aca="true" t="shared" si="0" ref="H10:AJ10">IF(H5&gt;0,$C10,0)</f>
        <v>0.2184</v>
      </c>
      <c r="I10" s="59">
        <f t="shared" si="0"/>
        <v>0.2184</v>
      </c>
      <c r="J10" s="59">
        <f t="shared" si="0"/>
        <v>0.2184</v>
      </c>
      <c r="K10" s="59">
        <f t="shared" si="0"/>
        <v>0.2184</v>
      </c>
      <c r="L10" s="59">
        <f t="shared" si="0"/>
        <v>0.2184</v>
      </c>
      <c r="M10" s="59">
        <f t="shared" si="0"/>
        <v>0.2184</v>
      </c>
      <c r="N10" s="59">
        <f t="shared" si="0"/>
        <v>0.2184</v>
      </c>
      <c r="O10" s="59">
        <f t="shared" si="0"/>
        <v>0.2184</v>
      </c>
      <c r="P10" s="59">
        <f t="shared" si="0"/>
        <v>0.2184</v>
      </c>
      <c r="Q10" s="59">
        <f t="shared" si="0"/>
        <v>0.2184</v>
      </c>
      <c r="R10" s="59">
        <f t="shared" si="0"/>
        <v>0.2184</v>
      </c>
      <c r="S10" s="59">
        <f t="shared" si="0"/>
        <v>0.2184</v>
      </c>
      <c r="T10" s="59">
        <f t="shared" si="0"/>
        <v>0.2184</v>
      </c>
      <c r="U10" s="59">
        <f t="shared" si="0"/>
        <v>0.2184</v>
      </c>
      <c r="V10" s="59">
        <f t="shared" si="0"/>
        <v>0.2184</v>
      </c>
      <c r="W10" s="59">
        <f t="shared" si="0"/>
        <v>0.2184</v>
      </c>
      <c r="X10" s="59">
        <f t="shared" si="0"/>
        <v>0.2184</v>
      </c>
      <c r="Y10" s="59">
        <f t="shared" si="0"/>
        <v>0.2184</v>
      </c>
      <c r="Z10" s="59">
        <f t="shared" si="0"/>
        <v>0.2184</v>
      </c>
      <c r="AA10" s="59">
        <f t="shared" si="0"/>
        <v>0.2184</v>
      </c>
      <c r="AB10" s="59">
        <f t="shared" si="0"/>
        <v>0.2184</v>
      </c>
      <c r="AC10" s="59">
        <f t="shared" si="0"/>
        <v>0.2184</v>
      </c>
      <c r="AD10" s="59">
        <f t="shared" si="0"/>
        <v>0.2184</v>
      </c>
      <c r="AE10" s="59">
        <f t="shared" si="0"/>
        <v>0.2184</v>
      </c>
      <c r="AF10" s="59">
        <f t="shared" si="0"/>
        <v>0.2184</v>
      </c>
      <c r="AG10" s="59">
        <f t="shared" si="0"/>
        <v>0.2184</v>
      </c>
      <c r="AH10" s="59">
        <f t="shared" si="0"/>
        <v>0.2184</v>
      </c>
      <c r="AI10" s="59">
        <f t="shared" si="0"/>
        <v>0.2184</v>
      </c>
      <c r="AJ10" s="59">
        <f t="shared" si="0"/>
        <v>0.2184</v>
      </c>
    </row>
    <row r="11" spans="1:36" ht="12" customHeight="1">
      <c r="A11" s="36">
        <v>1</v>
      </c>
      <c r="B11" s="10" t="s">
        <v>52</v>
      </c>
      <c r="C11" s="60"/>
      <c r="D11" s="60"/>
      <c r="E11" s="60"/>
      <c r="F11" s="60"/>
      <c r="G11" s="18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18"/>
    </row>
    <row r="12" spans="1:36" ht="12" customHeight="1">
      <c r="A12" s="36">
        <v>1.1</v>
      </c>
      <c r="B12" s="10" t="s">
        <v>53</v>
      </c>
      <c r="C12" s="60">
        <f>SUM(G12:AJ12)</f>
        <v>50131.2</v>
      </c>
      <c r="D12" s="60"/>
      <c r="E12" s="60"/>
      <c r="F12" s="60"/>
      <c r="G12" s="60">
        <f>IF(G5&gt;0,G10*G9,0)</f>
        <v>1671.04</v>
      </c>
      <c r="H12" s="60">
        <f>IF(H5&gt;0,H10*H9,0)</f>
        <v>1671.04</v>
      </c>
      <c r="I12" s="60">
        <f aca="true" t="shared" si="1" ref="I12:AJ12">IF(I5&gt;0,I10*I9,0)</f>
        <v>1671.04</v>
      </c>
      <c r="J12" s="60">
        <f t="shared" si="1"/>
        <v>1671.04</v>
      </c>
      <c r="K12" s="60">
        <f t="shared" si="1"/>
        <v>1671.04</v>
      </c>
      <c r="L12" s="60">
        <f t="shared" si="1"/>
        <v>1671.04</v>
      </c>
      <c r="M12" s="60">
        <f t="shared" si="1"/>
        <v>1671.04</v>
      </c>
      <c r="N12" s="60">
        <f t="shared" si="1"/>
        <v>1671.04</v>
      </c>
      <c r="O12" s="60">
        <f t="shared" si="1"/>
        <v>1671.04</v>
      </c>
      <c r="P12" s="60">
        <f t="shared" si="1"/>
        <v>1671.04</v>
      </c>
      <c r="Q12" s="60">
        <f t="shared" si="1"/>
        <v>1671.04</v>
      </c>
      <c r="R12" s="60">
        <f t="shared" si="1"/>
        <v>1671.04</v>
      </c>
      <c r="S12" s="60">
        <f t="shared" si="1"/>
        <v>1671.04</v>
      </c>
      <c r="T12" s="60">
        <f t="shared" si="1"/>
        <v>1671.04</v>
      </c>
      <c r="U12" s="60">
        <f t="shared" si="1"/>
        <v>1671.04</v>
      </c>
      <c r="V12" s="60">
        <f t="shared" si="1"/>
        <v>1671.04</v>
      </c>
      <c r="W12" s="60">
        <f t="shared" si="1"/>
        <v>1671.04</v>
      </c>
      <c r="X12" s="60">
        <f t="shared" si="1"/>
        <v>1671.04</v>
      </c>
      <c r="Y12" s="60">
        <f t="shared" si="1"/>
        <v>1671.04</v>
      </c>
      <c r="Z12" s="60">
        <f t="shared" si="1"/>
        <v>1671.04</v>
      </c>
      <c r="AA12" s="60">
        <f t="shared" si="1"/>
        <v>1671.04</v>
      </c>
      <c r="AB12" s="60">
        <f t="shared" si="1"/>
        <v>1671.04</v>
      </c>
      <c r="AC12" s="60">
        <f t="shared" si="1"/>
        <v>1671.04</v>
      </c>
      <c r="AD12" s="60">
        <f t="shared" si="1"/>
        <v>1671.04</v>
      </c>
      <c r="AE12" s="60">
        <f t="shared" si="1"/>
        <v>1671.04</v>
      </c>
      <c r="AF12" s="60">
        <f t="shared" si="1"/>
        <v>1671.04</v>
      </c>
      <c r="AG12" s="60">
        <f t="shared" si="1"/>
        <v>1671.04</v>
      </c>
      <c r="AH12" s="60">
        <f t="shared" si="1"/>
        <v>1671.04</v>
      </c>
      <c r="AI12" s="60">
        <f t="shared" si="1"/>
        <v>1671.04</v>
      </c>
      <c r="AJ12" s="60">
        <f t="shared" si="1"/>
        <v>1671.04</v>
      </c>
    </row>
    <row r="13" spans="1:36" ht="12" customHeight="1">
      <c r="A13" s="36">
        <v>1.2</v>
      </c>
      <c r="B13" s="10" t="s">
        <v>54</v>
      </c>
      <c r="C13" s="61">
        <f>SUM(G13:AJ13)</f>
        <v>0.07</v>
      </c>
      <c r="D13" s="61"/>
      <c r="E13" s="61"/>
      <c r="F13" s="61"/>
      <c r="G13" s="61">
        <f>IF(G5='Investment Plan'!$C5,'Investment Plan'!$C32-'Plan for Repayment of Loan'!$C8,0)</f>
        <v>0</v>
      </c>
      <c r="H13" s="61">
        <f>IF(H5='Investment Plan'!$C5,'Investment Plan'!$C32-'Plan for Repayment of Loan'!$C8,0)</f>
        <v>0</v>
      </c>
      <c r="I13" s="61">
        <f>IF(I5='Investment Plan'!$C5,'Investment Plan'!$C32-'Plan for Repayment of Loan'!$C8,0)</f>
        <v>0</v>
      </c>
      <c r="J13" s="61">
        <f>IF(J5='Investment Plan'!$C5,'Investment Plan'!$C32-'Plan for Repayment of Loan'!$C8,0)</f>
        <v>0</v>
      </c>
      <c r="K13" s="61">
        <f>IF(K5='Investment Plan'!$C5,'Investment Plan'!$C32-'Plan for Repayment of Loan'!$C8,0)</f>
        <v>0</v>
      </c>
      <c r="L13" s="61">
        <f>IF(L5='Investment Plan'!$C5,'Investment Plan'!$C32-'Plan for Repayment of Loan'!$C8,0)</f>
        <v>0</v>
      </c>
      <c r="M13" s="61">
        <f>IF(M5='Investment Plan'!$C5,'Investment Plan'!$C32-'Plan for Repayment of Loan'!$C8,0)</f>
        <v>0</v>
      </c>
      <c r="N13" s="61">
        <f>IF(N5='Investment Plan'!$C5,'Investment Plan'!$C32-'Plan for Repayment of Loan'!$C8,0)</f>
        <v>0</v>
      </c>
      <c r="O13" s="61">
        <f>IF(O5='Investment Plan'!$C5,'Investment Plan'!$C32-'Plan for Repayment of Loan'!$C8,0)</f>
        <v>0</v>
      </c>
      <c r="P13" s="61">
        <f>IF(P5='Investment Plan'!$C5,'Investment Plan'!$C32-'Plan for Repayment of Loan'!$C8,0)</f>
        <v>0</v>
      </c>
      <c r="Q13" s="61">
        <f>IF(Q5='Investment Plan'!$C5,'Investment Plan'!$C32-'Plan for Repayment of Loan'!$C8,0)</f>
        <v>0</v>
      </c>
      <c r="R13" s="61">
        <f>IF(R5='Investment Plan'!$C5,'Investment Plan'!$C32-'Plan for Repayment of Loan'!$C8,0)</f>
        <v>0</v>
      </c>
      <c r="S13" s="61">
        <f>IF(S5='Investment Plan'!$C5,'Investment Plan'!$C32-'Plan for Repayment of Loan'!$C8,0)</f>
        <v>0</v>
      </c>
      <c r="T13" s="61">
        <f>IF(T5='Investment Plan'!$C5,'Investment Plan'!$C32-'Plan for Repayment of Loan'!$C8,0)</f>
        <v>0</v>
      </c>
      <c r="U13" s="61">
        <f>IF(U5='Investment Plan'!$C5,'Investment Plan'!$C32-'Plan for Repayment of Loan'!$C8,0)</f>
        <v>0</v>
      </c>
      <c r="V13" s="61">
        <f>IF(V5='Investment Plan'!$C5,'Investment Plan'!$C32-'Plan for Repayment of Loan'!$C8,0)</f>
        <v>0</v>
      </c>
      <c r="W13" s="61">
        <f>IF(W5='Investment Plan'!$C5,'Investment Plan'!$C32-'Plan for Repayment of Loan'!$C8,0)</f>
        <v>0</v>
      </c>
      <c r="X13" s="61">
        <f>IF(X5='Investment Plan'!$C5,'Investment Plan'!$C32-'Plan for Repayment of Loan'!$C8,0)</f>
        <v>0</v>
      </c>
      <c r="Y13" s="61">
        <f>IF(Y5='Investment Plan'!$C5,'Investment Plan'!$C32-'Plan for Repayment of Loan'!$C8,0)</f>
        <v>0</v>
      </c>
      <c r="Z13" s="61">
        <f>IF(Z5='Investment Plan'!$C5,'Investment Plan'!$C32-'Plan for Repayment of Loan'!$C8,0)</f>
        <v>0</v>
      </c>
      <c r="AA13" s="61">
        <f>IF(AA5='Investment Plan'!$C5,'Investment Plan'!$C32-'Plan for Repayment of Loan'!$C8,0)</f>
        <v>0</v>
      </c>
      <c r="AB13" s="61">
        <f>IF(AB5='Investment Plan'!$C5,'Investment Plan'!$C32-'Plan for Repayment of Loan'!$C8,0)</f>
        <v>0</v>
      </c>
      <c r="AC13" s="61">
        <f>IF(AC5='Investment Plan'!$C5,'Investment Plan'!$C32-'Plan for Repayment of Loan'!$C8,0)</f>
        <v>0</v>
      </c>
      <c r="AD13" s="61">
        <f>IF(AD5='Investment Plan'!$C5,'Investment Plan'!$C32-'Plan for Repayment of Loan'!$C8,0)</f>
        <v>0</v>
      </c>
      <c r="AE13" s="61">
        <f>IF(AE5='Investment Plan'!$C5,'Investment Plan'!$C32-'Plan for Repayment of Loan'!$C8,0)</f>
        <v>0</v>
      </c>
      <c r="AF13" s="61">
        <f>IF(AF5='Investment Plan'!$C5,'Investment Plan'!$C32-'Plan for Repayment of Loan'!$C8,0)</f>
        <v>0</v>
      </c>
      <c r="AG13" s="61">
        <f>IF(AG5='Investment Plan'!$C5,'Investment Plan'!$C32-'Plan for Repayment of Loan'!$C8,0)</f>
        <v>0</v>
      </c>
      <c r="AH13" s="61">
        <f>IF(AH5='Investment Plan'!$C5,'Investment Plan'!$C32-'Plan for Repayment of Loan'!$C8,0)</f>
        <v>0</v>
      </c>
      <c r="AI13" s="61">
        <f>IF(AI5='Investment Plan'!$C5,'Investment Plan'!$C32-'Plan for Repayment of Loan'!$C8,0)</f>
        <v>0</v>
      </c>
      <c r="AJ13" s="61">
        <f>IF(AJ5='Investment Plan'!$C5,'Investment Plan'!$C32-'Plan for Repayment of Loan'!$C8,0)</f>
        <v>0.07</v>
      </c>
    </row>
    <row r="14" spans="1:36" ht="12" customHeight="1">
      <c r="A14" s="36">
        <v>1.3</v>
      </c>
      <c r="B14" s="10" t="s">
        <v>55</v>
      </c>
      <c r="C14" s="60">
        <f>SUM(G14:AJ14)</f>
        <v>6</v>
      </c>
      <c r="D14" s="60"/>
      <c r="E14" s="60"/>
      <c r="F14" s="60"/>
      <c r="G14" s="60">
        <f>IF(G5='Investment Plan'!$C5,'Investment Plan'!$C21,0)</f>
        <v>0</v>
      </c>
      <c r="H14" s="60">
        <f>IF(H5='Investment Plan'!$C5,'Investment Plan'!$C21,0)</f>
        <v>0</v>
      </c>
      <c r="I14" s="60">
        <f>IF(I5='Investment Plan'!$C5,'Investment Plan'!$C21,0)</f>
        <v>0</v>
      </c>
      <c r="J14" s="60">
        <f>IF(J5='Investment Plan'!$C5,'Investment Plan'!$C21,0)</f>
        <v>0</v>
      </c>
      <c r="K14" s="60">
        <f>IF(K5='Investment Plan'!$C5,'Investment Plan'!$C21,0)</f>
        <v>0</v>
      </c>
      <c r="L14" s="60">
        <f>IF(L5='Investment Plan'!$C5,'Investment Plan'!$C21,0)</f>
        <v>0</v>
      </c>
      <c r="M14" s="60">
        <f>IF(M5='Investment Plan'!$C5,'Investment Plan'!$C21,0)</f>
        <v>0</v>
      </c>
      <c r="N14" s="60">
        <f>IF(N5='Investment Plan'!$C5,'Investment Plan'!$C21,0)</f>
        <v>0</v>
      </c>
      <c r="O14" s="60">
        <f>IF(O5='Investment Plan'!$C5,'Investment Plan'!$C21,0)</f>
        <v>0</v>
      </c>
      <c r="P14" s="60">
        <f>IF(P5='Investment Plan'!$C5,'Investment Plan'!$C21,0)</f>
        <v>0</v>
      </c>
      <c r="Q14" s="60">
        <f>IF(Q5='Investment Plan'!$C5,'Investment Plan'!$C21,0)</f>
        <v>0</v>
      </c>
      <c r="R14" s="60">
        <f>IF(R5='Investment Plan'!$C5,'Investment Plan'!$C21,0)</f>
        <v>0</v>
      </c>
      <c r="S14" s="60">
        <f>IF(S5='Investment Plan'!$C5,'Investment Plan'!$C21,0)</f>
        <v>0</v>
      </c>
      <c r="T14" s="60">
        <f>IF(T5='Investment Plan'!$C5,'Investment Plan'!$C21,0)</f>
        <v>0</v>
      </c>
      <c r="U14" s="60">
        <f>IF(U5='Investment Plan'!$C5,'Investment Plan'!$C21,0)</f>
        <v>0</v>
      </c>
      <c r="V14" s="60">
        <f>IF(V5='Investment Plan'!$C5,'Investment Plan'!$C21,0)</f>
        <v>0</v>
      </c>
      <c r="W14" s="60">
        <f>IF(W5='Investment Plan'!$C5,'Investment Plan'!$C21,0)</f>
        <v>0</v>
      </c>
      <c r="X14" s="60">
        <f>IF(X5='Investment Plan'!$C5,'Investment Plan'!$C21,0)</f>
        <v>0</v>
      </c>
      <c r="Y14" s="60">
        <f>IF(Y5='Investment Plan'!$C5,'Investment Plan'!$C21,0)</f>
        <v>0</v>
      </c>
      <c r="Z14" s="60">
        <f>IF(Z5='Investment Plan'!$C5,'Investment Plan'!$C21,0)</f>
        <v>0</v>
      </c>
      <c r="AA14" s="60">
        <f>IF(AA5='Investment Plan'!$C5,'Investment Plan'!$C21,0)</f>
        <v>0</v>
      </c>
      <c r="AB14" s="60">
        <f>IF(AB5='Investment Plan'!$C5,'Investment Plan'!$C21,0)</f>
        <v>0</v>
      </c>
      <c r="AC14" s="60">
        <f>IF(AC5='Investment Plan'!$C5,'Investment Plan'!$C21,0)</f>
        <v>0</v>
      </c>
      <c r="AD14" s="60">
        <f>IF(AD5='Investment Plan'!$C5,'Investment Plan'!$C21,0)</f>
        <v>0</v>
      </c>
      <c r="AE14" s="60">
        <f>IF(AE5='Investment Plan'!$C5,'Investment Plan'!$C21,0)</f>
        <v>0</v>
      </c>
      <c r="AF14" s="60">
        <f>IF(AF5='Investment Plan'!$C5,'Investment Plan'!$C21,0)</f>
        <v>0</v>
      </c>
      <c r="AG14" s="60">
        <f>IF(AG5='Investment Plan'!$C5,'Investment Plan'!$C21,0)</f>
        <v>0</v>
      </c>
      <c r="AH14" s="60">
        <f>IF(AH5='Investment Plan'!$C5,'Investment Plan'!$C21,0)</f>
        <v>0</v>
      </c>
      <c r="AI14" s="60">
        <f>IF(AI5='Investment Plan'!$C5,'Investment Plan'!$C21,0)</f>
        <v>0</v>
      </c>
      <c r="AJ14" s="60">
        <f>IF(AJ5='Investment Plan'!$C5,'Investment Plan'!$C21,0)</f>
        <v>6</v>
      </c>
    </row>
    <row r="15" spans="1:36" ht="12" customHeight="1">
      <c r="A15" s="36">
        <v>1.4</v>
      </c>
      <c r="B15" s="10" t="s">
        <v>56</v>
      </c>
      <c r="C15" s="60">
        <f>SUM(G15:AJ15)</f>
        <v>9399.18</v>
      </c>
      <c r="D15" s="60"/>
      <c r="E15" s="60"/>
      <c r="F15" s="60"/>
      <c r="G15" s="62">
        <f>IF(AND(G5&lt;='Investment Plan'!$D48,G5&lt;&gt;0),'Investment Plan'!$D47,0)</f>
        <v>447.58</v>
      </c>
      <c r="H15" s="63">
        <f>IF(AND(H5&lt;='Investment Plan'!$D48,H5&lt;&gt;0),'Investment Plan'!$D47,0)</f>
        <v>447.58</v>
      </c>
      <c r="I15" s="63">
        <f>IF(AND(I5&lt;='Investment Plan'!$D48,I5&lt;&gt;0),'Investment Plan'!$D47,0)</f>
        <v>447.58</v>
      </c>
      <c r="J15" s="63">
        <f>IF(AND(J5&lt;='Investment Plan'!$D48,J5&lt;&gt;0),'Investment Plan'!$D47,0)</f>
        <v>447.58</v>
      </c>
      <c r="K15" s="63">
        <f>IF(AND(K5&lt;='Investment Plan'!$D48,K5&lt;&gt;0),'Investment Plan'!$D47,0)</f>
        <v>447.58</v>
      </c>
      <c r="L15" s="63">
        <f>IF(AND(L5&lt;='Investment Plan'!$D48,L5&lt;&gt;0),'Investment Plan'!$D47,0)</f>
        <v>447.58</v>
      </c>
      <c r="M15" s="63">
        <f>IF(AND(M5&lt;='Investment Plan'!$D48,M5&lt;&gt;0),'Investment Plan'!$D47,0)</f>
        <v>447.58</v>
      </c>
      <c r="N15" s="63">
        <f>IF(AND(N5&lt;='Investment Plan'!$D48,N5&lt;&gt;0),'Investment Plan'!$D47,0)</f>
        <v>447.58</v>
      </c>
      <c r="O15" s="63">
        <f>IF(AND(O5&lt;='Investment Plan'!$D48,O5&lt;&gt;0),'Investment Plan'!$D47,0)</f>
        <v>447.58</v>
      </c>
      <c r="P15" s="63">
        <f>IF(AND(P5&lt;='Investment Plan'!$D48,P5&lt;&gt;0),'Investment Plan'!$D47,0)</f>
        <v>447.58</v>
      </c>
      <c r="Q15" s="63">
        <f>IF(AND(Q5&lt;='Investment Plan'!$D48,Q5&lt;&gt;0),'Investment Plan'!$D47,0)</f>
        <v>447.58</v>
      </c>
      <c r="R15" s="63">
        <f>IF(AND(R5&lt;='Investment Plan'!$D48,R5&lt;&gt;0),'Investment Plan'!$D47,0)</f>
        <v>447.58</v>
      </c>
      <c r="S15" s="63">
        <f>IF(AND(S5&lt;='Investment Plan'!$D48,S5&lt;&gt;0),'Investment Plan'!$D47,0)</f>
        <v>447.58</v>
      </c>
      <c r="T15" s="63">
        <f>IF(AND(T5&lt;='Investment Plan'!$D48,T5&lt;&gt;0),'Investment Plan'!$D47,0)</f>
        <v>447.58</v>
      </c>
      <c r="U15" s="63">
        <f>IF(AND(U5&lt;='Investment Plan'!$D48,U5&lt;&gt;0),'Investment Plan'!$D47,0)</f>
        <v>447.58</v>
      </c>
      <c r="V15" s="63">
        <f>IF(AND(V5&lt;='Investment Plan'!$D48,V5&lt;&gt;0),'Investment Plan'!$D47,0)</f>
        <v>447.58</v>
      </c>
      <c r="W15" s="63">
        <f>IF(AND(W5&lt;='Investment Plan'!$D48,W5&lt;&gt;0),'Investment Plan'!$D47,0)</f>
        <v>447.58</v>
      </c>
      <c r="X15" s="63">
        <f>IF(AND(X5&lt;='Investment Plan'!$D48,X5&lt;&gt;0),'Investment Plan'!$D47,0)</f>
        <v>447.58</v>
      </c>
      <c r="Y15" s="63">
        <f>IF(AND(Y5&lt;='Investment Plan'!$D48,Y5&lt;&gt;0),'Investment Plan'!$D47,0)</f>
        <v>447.58</v>
      </c>
      <c r="Z15" s="63">
        <f>IF(AND(Z5&lt;='Investment Plan'!$D48,Z5&lt;&gt;0),'Investment Plan'!$D47,0)</f>
        <v>447.58</v>
      </c>
      <c r="AA15" s="63">
        <f>IF(AND(AA5&lt;='Investment Plan'!$D48,AA5&lt;&gt;0),'Investment Plan'!$D47,0)</f>
        <v>447.58</v>
      </c>
      <c r="AB15" s="63">
        <f>IF(AND(AB5&lt;='Investment Plan'!$D48,AB5&lt;&gt;0),'Investment Plan'!$D47,0)</f>
        <v>0</v>
      </c>
      <c r="AC15" s="63">
        <f>IF(AND(AC5&lt;='Investment Plan'!$D48,AC5&lt;&gt;0),'Investment Plan'!$D47,0)</f>
        <v>0</v>
      </c>
      <c r="AD15" s="63">
        <f>IF(AND(AD5&lt;='Investment Plan'!$D48,AD5&lt;&gt;0),'Investment Plan'!$D47,0)</f>
        <v>0</v>
      </c>
      <c r="AE15" s="63">
        <f>IF(AND(AE5&lt;='Investment Plan'!$D48,AE5&lt;&gt;0),'Investment Plan'!$D47,0)</f>
        <v>0</v>
      </c>
      <c r="AF15" s="63">
        <f>IF(AND(AF5&lt;='Investment Plan'!$D48,AF5&lt;&gt;0),'Investment Plan'!$D47,0)</f>
        <v>0</v>
      </c>
      <c r="AG15" s="63">
        <f>IF(AND(AG5&lt;='Investment Plan'!$D48,AG5&lt;&gt;0),'Investment Plan'!$D47,0)</f>
        <v>0</v>
      </c>
      <c r="AH15" s="63">
        <f>IF(AND(AH5&lt;='Investment Plan'!$D48,AH5&lt;&gt;0),'Investment Plan'!$D47,0)</f>
        <v>0</v>
      </c>
      <c r="AI15" s="63">
        <f>IF(AND(AI5&lt;='Investment Plan'!$D48,AI5&lt;&gt;0),'Investment Plan'!$D47,0)</f>
        <v>0</v>
      </c>
      <c r="AJ15" s="63">
        <f>IF(AND(AJ5&lt;='Investment Plan'!$D48,AJ5&lt;&gt;0),'Investment Plan'!$D47,0)</f>
        <v>0</v>
      </c>
    </row>
    <row r="16" spans="1:36" ht="12" customHeight="1">
      <c r="A16" s="36"/>
      <c r="B16" s="10" t="s">
        <v>57</v>
      </c>
      <c r="C16" s="60">
        <f>SUM(G16:AJ16)</f>
        <v>59536.45</v>
      </c>
      <c r="D16" s="60"/>
      <c r="E16" s="60"/>
      <c r="F16" s="60"/>
      <c r="G16" s="60">
        <f>SUM(G12:G15)</f>
        <v>2118.62</v>
      </c>
      <c r="H16" s="60">
        <f aca="true" t="shared" si="2" ref="H16:AJ16">SUM(H12:H15)</f>
        <v>2118.62</v>
      </c>
      <c r="I16" s="60">
        <f t="shared" si="2"/>
        <v>2118.62</v>
      </c>
      <c r="J16" s="60">
        <f t="shared" si="2"/>
        <v>2118.62</v>
      </c>
      <c r="K16" s="60">
        <f t="shared" si="2"/>
        <v>2118.62</v>
      </c>
      <c r="L16" s="60">
        <f t="shared" si="2"/>
        <v>2118.62</v>
      </c>
      <c r="M16" s="60">
        <f t="shared" si="2"/>
        <v>2118.62</v>
      </c>
      <c r="N16" s="60">
        <f t="shared" si="2"/>
        <v>2118.62</v>
      </c>
      <c r="O16" s="60">
        <f t="shared" si="2"/>
        <v>2118.62</v>
      </c>
      <c r="P16" s="60">
        <f t="shared" si="2"/>
        <v>2118.62</v>
      </c>
      <c r="Q16" s="60">
        <f t="shared" si="2"/>
        <v>2118.62</v>
      </c>
      <c r="R16" s="60">
        <f t="shared" si="2"/>
        <v>2118.62</v>
      </c>
      <c r="S16" s="60">
        <f t="shared" si="2"/>
        <v>2118.62</v>
      </c>
      <c r="T16" s="60">
        <f t="shared" si="2"/>
        <v>2118.62</v>
      </c>
      <c r="U16" s="60">
        <f t="shared" si="2"/>
        <v>2118.62</v>
      </c>
      <c r="V16" s="60">
        <f t="shared" si="2"/>
        <v>2118.62</v>
      </c>
      <c r="W16" s="60">
        <f t="shared" si="2"/>
        <v>2118.62</v>
      </c>
      <c r="X16" s="60">
        <f t="shared" si="2"/>
        <v>2118.62</v>
      </c>
      <c r="Y16" s="60">
        <f t="shared" si="2"/>
        <v>2118.62</v>
      </c>
      <c r="Z16" s="60">
        <f t="shared" si="2"/>
        <v>2118.62</v>
      </c>
      <c r="AA16" s="60">
        <f t="shared" si="2"/>
        <v>2118.62</v>
      </c>
      <c r="AB16" s="60">
        <f t="shared" si="2"/>
        <v>1671.04</v>
      </c>
      <c r="AC16" s="60">
        <f t="shared" si="2"/>
        <v>1671.04</v>
      </c>
      <c r="AD16" s="60">
        <f t="shared" si="2"/>
        <v>1671.04</v>
      </c>
      <c r="AE16" s="60">
        <f t="shared" si="2"/>
        <v>1671.04</v>
      </c>
      <c r="AF16" s="60">
        <f t="shared" si="2"/>
        <v>1671.04</v>
      </c>
      <c r="AG16" s="60">
        <f t="shared" si="2"/>
        <v>1671.04</v>
      </c>
      <c r="AH16" s="60">
        <f t="shared" si="2"/>
        <v>1671.04</v>
      </c>
      <c r="AI16" s="60">
        <f t="shared" si="2"/>
        <v>1671.04</v>
      </c>
      <c r="AJ16" s="60">
        <f t="shared" si="2"/>
        <v>1677.11</v>
      </c>
    </row>
    <row r="17" spans="1:36" ht="12" customHeight="1">
      <c r="A17" s="36"/>
      <c r="B17" s="36"/>
      <c r="C17" s="60"/>
      <c r="D17" s="60"/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12" customHeight="1">
      <c r="A18" s="36">
        <v>2</v>
      </c>
      <c r="B18" s="10" t="s">
        <v>58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2" customHeight="1">
      <c r="A19" s="36">
        <v>2.1</v>
      </c>
      <c r="B19" s="10" t="s">
        <v>59</v>
      </c>
      <c r="C19" s="60">
        <f>SUM(D19:F19)</f>
        <v>14430</v>
      </c>
      <c r="D19" s="62">
        <f>'Investment Plan'!D19</f>
        <v>0</v>
      </c>
      <c r="E19" s="62">
        <f>'Investment Plan'!E19</f>
        <v>7892</v>
      </c>
      <c r="F19" s="62">
        <f>'Investment Plan'!F19</f>
        <v>6538</v>
      </c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</row>
    <row r="20" spans="1:36" ht="12" customHeight="1">
      <c r="A20" s="36">
        <v>2.2</v>
      </c>
      <c r="B20" s="10" t="s">
        <v>60</v>
      </c>
      <c r="C20" s="60">
        <f>SUM(D20:F20)</f>
        <v>6</v>
      </c>
      <c r="D20" s="63">
        <f>'Investment Plan'!D21</f>
        <v>0</v>
      </c>
      <c r="E20" s="63">
        <f>'Investment Plan'!E21</f>
        <v>0</v>
      </c>
      <c r="F20" s="63">
        <f>'Investment Plan'!F21</f>
        <v>6</v>
      </c>
      <c r="G20" s="64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12" customHeight="1">
      <c r="A21" s="36">
        <v>2.3</v>
      </c>
      <c r="B21" s="10" t="s">
        <v>61</v>
      </c>
      <c r="C21" s="60">
        <f>SUM(G21:AJ21)</f>
        <v>8400</v>
      </c>
      <c r="D21" s="60"/>
      <c r="E21" s="60"/>
      <c r="F21" s="60"/>
      <c r="G21" s="62">
        <f>IF(G5&lt;&gt;0,'Cost and Income'!E9,0)</f>
        <v>290</v>
      </c>
      <c r="H21" s="63">
        <f>IF(H5&lt;&gt;0,'Cost and Income'!F9,0)</f>
        <v>290</v>
      </c>
      <c r="I21" s="63">
        <f>IF(I5&lt;&gt;0,'Cost and Income'!G9,0)</f>
        <v>290</v>
      </c>
      <c r="J21" s="63">
        <f>IF(J5&lt;&gt;0,'Cost and Income'!H9,0)</f>
        <v>290</v>
      </c>
      <c r="K21" s="63">
        <f>IF(K5&lt;&gt;0,'Cost and Income'!I9,0)</f>
        <v>290</v>
      </c>
      <c r="L21" s="63">
        <f>IF(L5&lt;&gt;0,'Cost and Income'!J9,0)</f>
        <v>290</v>
      </c>
      <c r="M21" s="63">
        <f>IF(M5&lt;&gt;0,'Cost and Income'!K9,0)</f>
        <v>290</v>
      </c>
      <c r="N21" s="63">
        <f>IF(N5&lt;&gt;0,'Cost and Income'!L9,0)</f>
        <v>290</v>
      </c>
      <c r="O21" s="63">
        <f>IF(O5&lt;&gt;0,'Cost and Income'!M9,0)</f>
        <v>290</v>
      </c>
      <c r="P21" s="63">
        <f>IF(P5&lt;&gt;0,'Cost and Income'!N9,0)</f>
        <v>290</v>
      </c>
      <c r="Q21" s="62">
        <f>IF(Q5&lt;&gt;0,'Cost and Income'!O9,0)</f>
        <v>275</v>
      </c>
      <c r="R21" s="63">
        <f>IF(R5&lt;&gt;0,'Cost and Income'!P9,0)</f>
        <v>275</v>
      </c>
      <c r="S21" s="63">
        <f>IF(S5&lt;&gt;0,'Cost and Income'!Q9,0)</f>
        <v>275</v>
      </c>
      <c r="T21" s="63">
        <f>IF(T5&lt;&gt;0,'Cost and Income'!R9,0)</f>
        <v>275</v>
      </c>
      <c r="U21" s="63">
        <f>IF(U5&lt;&gt;0,'Cost and Income'!S9,0)</f>
        <v>275</v>
      </c>
      <c r="V21" s="63">
        <f>IF(V5&lt;&gt;0,'Cost and Income'!T9,0)</f>
        <v>275</v>
      </c>
      <c r="W21" s="63">
        <f>IF(W5&lt;&gt;0,'Cost and Income'!U9,0)</f>
        <v>275</v>
      </c>
      <c r="X21" s="63">
        <f>IF(X5&lt;&gt;0,'Cost and Income'!V9,0)</f>
        <v>275</v>
      </c>
      <c r="Y21" s="63">
        <f>IF(Y5&lt;&gt;0,'Cost and Income'!W9,0)</f>
        <v>275</v>
      </c>
      <c r="Z21" s="63">
        <f>IF(Z5&lt;&gt;0,'Cost and Income'!X9,0)</f>
        <v>275</v>
      </c>
      <c r="AA21" s="63">
        <f>IF(AA5&lt;&gt;0,'Cost and Income'!Y9,0)</f>
        <v>275</v>
      </c>
      <c r="AB21" s="63">
        <f>IF(AB5&lt;&gt;0,'Cost and Income'!Z9,0)</f>
        <v>275</v>
      </c>
      <c r="AC21" s="63">
        <f>IF(AC5&lt;&gt;0,'Cost and Income'!AA9,0)</f>
        <v>275</v>
      </c>
      <c r="AD21" s="63">
        <f>IF(AD5&lt;&gt;0,'Cost and Income'!AB9,0)</f>
        <v>275</v>
      </c>
      <c r="AE21" s="63">
        <f>IF(AE5&lt;&gt;0,'Cost and Income'!AC9,0)</f>
        <v>275</v>
      </c>
      <c r="AF21" s="63">
        <f>IF(AF5&lt;&gt;0,'Cost and Income'!AD9,0)</f>
        <v>275</v>
      </c>
      <c r="AG21" s="63">
        <f>IF(AG5&lt;&gt;0,'Cost and Income'!AE9,0)</f>
        <v>275</v>
      </c>
      <c r="AH21" s="63">
        <f>IF(AH5&lt;&gt;0,'Cost and Income'!AF9,0)</f>
        <v>275</v>
      </c>
      <c r="AI21" s="63">
        <f>IF(AI5&lt;&gt;0,'Cost and Income'!AG9,0)</f>
        <v>275</v>
      </c>
      <c r="AJ21" s="63">
        <f>IF(AJ5&lt;&gt;0,'Cost and Income'!AH9,0)</f>
        <v>275</v>
      </c>
    </row>
    <row r="22" spans="1:36" ht="12" customHeight="1">
      <c r="A22" s="36">
        <v>2.4</v>
      </c>
      <c r="B22" s="10" t="s">
        <v>62</v>
      </c>
      <c r="C22" s="60">
        <f>SUM(G22:AJ22)</f>
        <v>3128.1</v>
      </c>
      <c r="D22" s="60"/>
      <c r="E22" s="60"/>
      <c r="F22" s="60"/>
      <c r="G22" s="60">
        <f>'Cost and Income'!E22</f>
        <v>104.27</v>
      </c>
      <c r="H22" s="60">
        <f>'Cost and Income'!F22</f>
        <v>104.27</v>
      </c>
      <c r="I22" s="60">
        <f>'Cost and Income'!G22</f>
        <v>104.27</v>
      </c>
      <c r="J22" s="60">
        <f>'Cost and Income'!H22</f>
        <v>104.27</v>
      </c>
      <c r="K22" s="60">
        <f>'Cost and Income'!I22</f>
        <v>104.27</v>
      </c>
      <c r="L22" s="60">
        <f>'Cost and Income'!J22</f>
        <v>104.27</v>
      </c>
      <c r="M22" s="60">
        <f>'Cost and Income'!K22</f>
        <v>104.27</v>
      </c>
      <c r="N22" s="60">
        <f>'Cost and Income'!L22</f>
        <v>104.27</v>
      </c>
      <c r="O22" s="60">
        <f>'Cost and Income'!M22</f>
        <v>104.27</v>
      </c>
      <c r="P22" s="60">
        <f>'Cost and Income'!N22</f>
        <v>104.27</v>
      </c>
      <c r="Q22" s="60">
        <f>'Cost and Income'!O22</f>
        <v>104.27</v>
      </c>
      <c r="R22" s="60">
        <f>'Cost and Income'!P22</f>
        <v>104.27</v>
      </c>
      <c r="S22" s="60">
        <f>'Cost and Income'!Q22</f>
        <v>104.27</v>
      </c>
      <c r="T22" s="60">
        <f>'Cost and Income'!R22</f>
        <v>104.27</v>
      </c>
      <c r="U22" s="60">
        <f>'Cost and Income'!S22</f>
        <v>104.27</v>
      </c>
      <c r="V22" s="60">
        <f>'Cost and Income'!T22</f>
        <v>104.27</v>
      </c>
      <c r="W22" s="60">
        <f>'Cost and Income'!U22</f>
        <v>104.27</v>
      </c>
      <c r="X22" s="60">
        <f>'Cost and Income'!V22</f>
        <v>104.27</v>
      </c>
      <c r="Y22" s="60">
        <f>'Cost and Income'!W22</f>
        <v>104.27</v>
      </c>
      <c r="Z22" s="60">
        <f>'Cost and Income'!X22</f>
        <v>104.27</v>
      </c>
      <c r="AA22" s="60">
        <f>'Cost and Income'!Y22</f>
        <v>104.27</v>
      </c>
      <c r="AB22" s="60">
        <f>'Cost and Income'!Z22</f>
        <v>104.27</v>
      </c>
      <c r="AC22" s="60">
        <f>'Cost and Income'!AA22</f>
        <v>104.27</v>
      </c>
      <c r="AD22" s="60">
        <f>'Cost and Income'!AB22</f>
        <v>104.27</v>
      </c>
      <c r="AE22" s="60">
        <f>'Cost and Income'!AC22</f>
        <v>104.27</v>
      </c>
      <c r="AF22" s="60">
        <f>'Cost and Income'!AD22</f>
        <v>104.27</v>
      </c>
      <c r="AG22" s="60">
        <f>'Cost and Income'!AE22</f>
        <v>104.27</v>
      </c>
      <c r="AH22" s="60">
        <f>'Cost and Income'!AF22</f>
        <v>104.27</v>
      </c>
      <c r="AI22" s="60">
        <f>'Cost and Income'!AG22</f>
        <v>104.27</v>
      </c>
      <c r="AJ22" s="60">
        <f>'Cost and Income'!AH22</f>
        <v>104.27</v>
      </c>
    </row>
    <row r="23" spans="1:36" ht="12" customHeight="1">
      <c r="A23" s="36">
        <v>2.5</v>
      </c>
      <c r="B23" s="10" t="s">
        <v>79</v>
      </c>
      <c r="C23" s="60">
        <f>SUM(G23:AJ23)</f>
        <v>6968.3</v>
      </c>
      <c r="D23" s="60"/>
      <c r="E23" s="60"/>
      <c r="F23" s="60"/>
      <c r="G23" s="60">
        <f>'Cost and Income'!E27</f>
        <v>0</v>
      </c>
      <c r="H23" s="60">
        <f>'Cost and Income'!F27</f>
        <v>0</v>
      </c>
      <c r="I23" s="60">
        <f>'Cost and Income'!G27</f>
        <v>43.06</v>
      </c>
      <c r="J23" s="60">
        <f>'Cost and Income'!H27</f>
        <v>43.06</v>
      </c>
      <c r="K23" s="60">
        <f>'Cost and Income'!I27</f>
        <v>94.74</v>
      </c>
      <c r="L23" s="60">
        <f>'Cost and Income'!J27</f>
        <v>94.74</v>
      </c>
      <c r="M23" s="60">
        <f>'Cost and Income'!K27</f>
        <v>94.74</v>
      </c>
      <c r="N23" s="60">
        <f>'Cost and Income'!L27</f>
        <v>175.82</v>
      </c>
      <c r="O23" s="60">
        <f>'Cost and Income'!M27</f>
        <v>175.82</v>
      </c>
      <c r="P23" s="60">
        <f>'Cost and Income'!N27</f>
        <v>175.82</v>
      </c>
      <c r="Q23" s="60">
        <f>'Cost and Income'!O27</f>
        <v>180.77</v>
      </c>
      <c r="R23" s="60">
        <f>'Cost and Income'!P27</f>
        <v>180.77</v>
      </c>
      <c r="S23" s="60">
        <f>'Cost and Income'!Q27</f>
        <v>180.77</v>
      </c>
      <c r="T23" s="60">
        <f>'Cost and Income'!R27</f>
        <v>180.77</v>
      </c>
      <c r="U23" s="60">
        <f>'Cost and Income'!S27</f>
        <v>180.77</v>
      </c>
      <c r="V23" s="60">
        <f>'Cost and Income'!T27</f>
        <v>180.77</v>
      </c>
      <c r="W23" s="60">
        <f>'Cost and Income'!U27</f>
        <v>180.77</v>
      </c>
      <c r="X23" s="60">
        <f>'Cost and Income'!V27</f>
        <v>180.77</v>
      </c>
      <c r="Y23" s="60">
        <f>'Cost and Income'!W27</f>
        <v>180.77</v>
      </c>
      <c r="Z23" s="60">
        <f>'Cost and Income'!X27</f>
        <v>180.77</v>
      </c>
      <c r="AA23" s="60">
        <f>'Cost and Income'!Y27</f>
        <v>426.28</v>
      </c>
      <c r="AB23" s="60">
        <f>'Cost and Income'!Z27</f>
        <v>426.28</v>
      </c>
      <c r="AC23" s="60">
        <f>'Cost and Income'!AA27</f>
        <v>426.28</v>
      </c>
      <c r="AD23" s="60">
        <f>'Cost and Income'!AB27</f>
        <v>426.28</v>
      </c>
      <c r="AE23" s="60">
        <f>'Cost and Income'!AC27</f>
        <v>426.28</v>
      </c>
      <c r="AF23" s="60">
        <f>'Cost and Income'!AD27</f>
        <v>426.28</v>
      </c>
      <c r="AG23" s="60">
        <f>'Cost and Income'!AE27</f>
        <v>426.28</v>
      </c>
      <c r="AH23" s="60">
        <f>'Cost and Income'!AF27</f>
        <v>426.28</v>
      </c>
      <c r="AI23" s="60">
        <f>'Cost and Income'!AG27</f>
        <v>426.28</v>
      </c>
      <c r="AJ23" s="60">
        <f>'Cost and Income'!AH27</f>
        <v>426.28</v>
      </c>
    </row>
    <row r="24" spans="1:36" ht="12" customHeight="1">
      <c r="A24" s="36"/>
      <c r="B24" s="10" t="s">
        <v>63</v>
      </c>
      <c r="C24" s="60">
        <f>SUM(C19:C23)</f>
        <v>32932.4</v>
      </c>
      <c r="D24" s="60">
        <f>SUM(D19:D23)</f>
        <v>0</v>
      </c>
      <c r="E24" s="60">
        <f>SUM(E19:E23)</f>
        <v>7892</v>
      </c>
      <c r="F24" s="60">
        <f>SUM(F19:F23)</f>
        <v>6544</v>
      </c>
      <c r="G24" s="60">
        <f aca="true" t="shared" si="3" ref="G24:N24">SUM(G19:G23)</f>
        <v>394.27</v>
      </c>
      <c r="H24" s="60">
        <f t="shared" si="3"/>
        <v>394.27</v>
      </c>
      <c r="I24" s="60">
        <f t="shared" si="3"/>
        <v>437.33</v>
      </c>
      <c r="J24" s="60">
        <f t="shared" si="3"/>
        <v>437.33</v>
      </c>
      <c r="K24" s="60">
        <f t="shared" si="3"/>
        <v>489.01</v>
      </c>
      <c r="L24" s="60">
        <f t="shared" si="3"/>
        <v>489.01</v>
      </c>
      <c r="M24" s="60">
        <f t="shared" si="3"/>
        <v>489.01</v>
      </c>
      <c r="N24" s="60">
        <f t="shared" si="3"/>
        <v>570.09</v>
      </c>
      <c r="O24" s="60">
        <f aca="true" t="shared" si="4" ref="O24:AJ24">SUM(O19:O23)</f>
        <v>570.09</v>
      </c>
      <c r="P24" s="60">
        <f t="shared" si="4"/>
        <v>570.09</v>
      </c>
      <c r="Q24" s="60">
        <f t="shared" si="4"/>
        <v>560.04</v>
      </c>
      <c r="R24" s="60">
        <f t="shared" si="4"/>
        <v>560.04</v>
      </c>
      <c r="S24" s="60">
        <f t="shared" si="4"/>
        <v>560.04</v>
      </c>
      <c r="T24" s="60">
        <f t="shared" si="4"/>
        <v>560.04</v>
      </c>
      <c r="U24" s="60">
        <f t="shared" si="4"/>
        <v>560.04</v>
      </c>
      <c r="V24" s="60">
        <f t="shared" si="4"/>
        <v>560.04</v>
      </c>
      <c r="W24" s="60">
        <f t="shared" si="4"/>
        <v>560.04</v>
      </c>
      <c r="X24" s="60">
        <f t="shared" si="4"/>
        <v>560.04</v>
      </c>
      <c r="Y24" s="60">
        <f t="shared" si="4"/>
        <v>560.04</v>
      </c>
      <c r="Z24" s="60">
        <f t="shared" si="4"/>
        <v>560.04</v>
      </c>
      <c r="AA24" s="60">
        <f t="shared" si="4"/>
        <v>805.55</v>
      </c>
      <c r="AB24" s="60">
        <f t="shared" si="4"/>
        <v>805.55</v>
      </c>
      <c r="AC24" s="60">
        <f t="shared" si="4"/>
        <v>805.55</v>
      </c>
      <c r="AD24" s="60">
        <f t="shared" si="4"/>
        <v>805.55</v>
      </c>
      <c r="AE24" s="60">
        <f t="shared" si="4"/>
        <v>805.55</v>
      </c>
      <c r="AF24" s="60">
        <f t="shared" si="4"/>
        <v>805.55</v>
      </c>
      <c r="AG24" s="60">
        <f t="shared" si="4"/>
        <v>805.55</v>
      </c>
      <c r="AH24" s="60">
        <f t="shared" si="4"/>
        <v>805.55</v>
      </c>
      <c r="AI24" s="60">
        <f t="shared" si="4"/>
        <v>805.55</v>
      </c>
      <c r="AJ24" s="60">
        <f t="shared" si="4"/>
        <v>805.55</v>
      </c>
    </row>
    <row r="25" spans="1:36" ht="12" customHeight="1">
      <c r="A25" s="36"/>
      <c r="B25" s="36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18"/>
    </row>
    <row r="26" spans="1:36" ht="12" customHeight="1">
      <c r="A26" s="36">
        <v>3</v>
      </c>
      <c r="B26" s="10" t="s">
        <v>64</v>
      </c>
      <c r="C26" s="60">
        <f>C16-C24+C23</f>
        <v>33572.35</v>
      </c>
      <c r="D26" s="61">
        <f>D16-D24+D23</f>
        <v>0</v>
      </c>
      <c r="E26" s="61">
        <f>E16-E24+E23</f>
        <v>-7892</v>
      </c>
      <c r="F26" s="61">
        <f>F16-F24+F23</f>
        <v>-6544</v>
      </c>
      <c r="G26" s="61">
        <f>G16-G24+G23</f>
        <v>1724.35</v>
      </c>
      <c r="H26" s="61">
        <f aca="true" t="shared" si="5" ref="H26:AJ26">H16-H24+H23</f>
        <v>1724.35</v>
      </c>
      <c r="I26" s="61">
        <f t="shared" si="5"/>
        <v>1724.35</v>
      </c>
      <c r="J26" s="61">
        <f t="shared" si="5"/>
        <v>1724.35</v>
      </c>
      <c r="K26" s="61">
        <f t="shared" si="5"/>
        <v>1724.35</v>
      </c>
      <c r="L26" s="61">
        <f t="shared" si="5"/>
        <v>1724.35</v>
      </c>
      <c r="M26" s="61">
        <f t="shared" si="5"/>
        <v>1724.35</v>
      </c>
      <c r="N26" s="61">
        <f t="shared" si="5"/>
        <v>1724.35</v>
      </c>
      <c r="O26" s="61">
        <f t="shared" si="5"/>
        <v>1724.35</v>
      </c>
      <c r="P26" s="61">
        <f t="shared" si="5"/>
        <v>1724.35</v>
      </c>
      <c r="Q26" s="61">
        <f t="shared" si="5"/>
        <v>1739.35</v>
      </c>
      <c r="R26" s="61">
        <f t="shared" si="5"/>
        <v>1739.35</v>
      </c>
      <c r="S26" s="61">
        <f t="shared" si="5"/>
        <v>1739.35</v>
      </c>
      <c r="T26" s="61">
        <f t="shared" si="5"/>
        <v>1739.35</v>
      </c>
      <c r="U26" s="61">
        <f t="shared" si="5"/>
        <v>1739.35</v>
      </c>
      <c r="V26" s="61">
        <f t="shared" si="5"/>
        <v>1739.35</v>
      </c>
      <c r="W26" s="61">
        <f t="shared" si="5"/>
        <v>1739.35</v>
      </c>
      <c r="X26" s="61">
        <f t="shared" si="5"/>
        <v>1739.35</v>
      </c>
      <c r="Y26" s="61">
        <f t="shared" si="5"/>
        <v>1739.35</v>
      </c>
      <c r="Z26" s="61">
        <f t="shared" si="5"/>
        <v>1739.35</v>
      </c>
      <c r="AA26" s="61">
        <f t="shared" si="5"/>
        <v>1739.35</v>
      </c>
      <c r="AB26" s="61">
        <f t="shared" si="5"/>
        <v>1291.77</v>
      </c>
      <c r="AC26" s="61">
        <f t="shared" si="5"/>
        <v>1291.77</v>
      </c>
      <c r="AD26" s="61">
        <f t="shared" si="5"/>
        <v>1291.77</v>
      </c>
      <c r="AE26" s="61">
        <f t="shared" si="5"/>
        <v>1291.77</v>
      </c>
      <c r="AF26" s="61">
        <f t="shared" si="5"/>
        <v>1291.77</v>
      </c>
      <c r="AG26" s="61">
        <f t="shared" si="5"/>
        <v>1291.77</v>
      </c>
      <c r="AH26" s="61">
        <f t="shared" si="5"/>
        <v>1291.77</v>
      </c>
      <c r="AI26" s="61">
        <f t="shared" si="5"/>
        <v>1291.77</v>
      </c>
      <c r="AJ26" s="61">
        <f t="shared" si="5"/>
        <v>1297.84</v>
      </c>
    </row>
    <row r="27" spans="1:36" ht="12" customHeight="1">
      <c r="A27" s="36">
        <v>4</v>
      </c>
      <c r="B27" s="10" t="s">
        <v>65</v>
      </c>
      <c r="C27" s="60"/>
      <c r="D27" s="61">
        <f>D26</f>
        <v>0</v>
      </c>
      <c r="E27" s="61">
        <f>D27+E26</f>
        <v>-7892</v>
      </c>
      <c r="F27" s="61">
        <f>E27+F26</f>
        <v>-14436</v>
      </c>
      <c r="G27" s="61">
        <f>IF(G5&gt;0,F27+G26,0)</f>
        <v>-12711.65</v>
      </c>
      <c r="H27" s="61">
        <f aca="true" t="shared" si="6" ref="H27:AJ27">IF(H5&gt;0,G27+H26,0)</f>
        <v>-10987.3</v>
      </c>
      <c r="I27" s="61">
        <f t="shared" si="6"/>
        <v>-9262.95</v>
      </c>
      <c r="J27" s="61">
        <f t="shared" si="6"/>
        <v>-7538.6</v>
      </c>
      <c r="K27" s="61">
        <f t="shared" si="6"/>
        <v>-5814.25</v>
      </c>
      <c r="L27" s="61">
        <f t="shared" si="6"/>
        <v>-4089.9</v>
      </c>
      <c r="M27" s="61">
        <f t="shared" si="6"/>
        <v>-2365.55</v>
      </c>
      <c r="N27" s="61">
        <f t="shared" si="6"/>
        <v>-641.2</v>
      </c>
      <c r="O27" s="61">
        <f t="shared" si="6"/>
        <v>1083.15</v>
      </c>
      <c r="P27" s="61">
        <f t="shared" si="6"/>
        <v>2807.5</v>
      </c>
      <c r="Q27" s="61">
        <f t="shared" si="6"/>
        <v>4546.85</v>
      </c>
      <c r="R27" s="61">
        <f t="shared" si="6"/>
        <v>6286.2</v>
      </c>
      <c r="S27" s="61">
        <f t="shared" si="6"/>
        <v>8025.55</v>
      </c>
      <c r="T27" s="61">
        <f t="shared" si="6"/>
        <v>9764.9</v>
      </c>
      <c r="U27" s="61">
        <f t="shared" si="6"/>
        <v>11504.25</v>
      </c>
      <c r="V27" s="61">
        <f t="shared" si="6"/>
        <v>13243.6</v>
      </c>
      <c r="W27" s="61">
        <f t="shared" si="6"/>
        <v>14982.95</v>
      </c>
      <c r="X27" s="61">
        <f t="shared" si="6"/>
        <v>16722.3</v>
      </c>
      <c r="Y27" s="61">
        <f t="shared" si="6"/>
        <v>18461.65</v>
      </c>
      <c r="Z27" s="61">
        <f t="shared" si="6"/>
        <v>20201</v>
      </c>
      <c r="AA27" s="61">
        <f t="shared" si="6"/>
        <v>21940.35</v>
      </c>
      <c r="AB27" s="61">
        <f t="shared" si="6"/>
        <v>23232.12</v>
      </c>
      <c r="AC27" s="61">
        <f t="shared" si="6"/>
        <v>24523.89</v>
      </c>
      <c r="AD27" s="61">
        <f t="shared" si="6"/>
        <v>25815.66</v>
      </c>
      <c r="AE27" s="61">
        <f t="shared" si="6"/>
        <v>27107.43</v>
      </c>
      <c r="AF27" s="61">
        <f t="shared" si="6"/>
        <v>28399.2</v>
      </c>
      <c r="AG27" s="61">
        <f t="shared" si="6"/>
        <v>29690.97</v>
      </c>
      <c r="AH27" s="61">
        <f t="shared" si="6"/>
        <v>30982.74</v>
      </c>
      <c r="AI27" s="61">
        <f t="shared" si="6"/>
        <v>32274.51</v>
      </c>
      <c r="AJ27" s="61">
        <f t="shared" si="6"/>
        <v>33572.35</v>
      </c>
    </row>
    <row r="28" spans="1:36" ht="12" customHeight="1">
      <c r="A28" s="36">
        <v>5</v>
      </c>
      <c r="B28" s="10" t="s">
        <v>66</v>
      </c>
      <c r="C28" s="60">
        <f>C16-C24</f>
        <v>26604.05</v>
      </c>
      <c r="D28" s="61">
        <f>D16-D24</f>
        <v>0</v>
      </c>
      <c r="E28" s="61">
        <f aca="true" t="shared" si="7" ref="E28:AJ28">E16-E24</f>
        <v>-7892</v>
      </c>
      <c r="F28" s="61">
        <f t="shared" si="7"/>
        <v>-6544</v>
      </c>
      <c r="G28" s="61">
        <f t="shared" si="7"/>
        <v>1724.35</v>
      </c>
      <c r="H28" s="61">
        <f t="shared" si="7"/>
        <v>1724.35</v>
      </c>
      <c r="I28" s="61">
        <f t="shared" si="7"/>
        <v>1681.29</v>
      </c>
      <c r="J28" s="61">
        <f t="shared" si="7"/>
        <v>1681.29</v>
      </c>
      <c r="K28" s="61">
        <f t="shared" si="7"/>
        <v>1629.61</v>
      </c>
      <c r="L28" s="61">
        <f t="shared" si="7"/>
        <v>1629.61</v>
      </c>
      <c r="M28" s="61">
        <f t="shared" si="7"/>
        <v>1629.61</v>
      </c>
      <c r="N28" s="61">
        <f t="shared" si="7"/>
        <v>1548.53</v>
      </c>
      <c r="O28" s="61">
        <f t="shared" si="7"/>
        <v>1548.53</v>
      </c>
      <c r="P28" s="61">
        <f t="shared" si="7"/>
        <v>1548.53</v>
      </c>
      <c r="Q28" s="61">
        <f t="shared" si="7"/>
        <v>1558.58</v>
      </c>
      <c r="R28" s="61">
        <f t="shared" si="7"/>
        <v>1558.58</v>
      </c>
      <c r="S28" s="61">
        <f t="shared" si="7"/>
        <v>1558.58</v>
      </c>
      <c r="T28" s="61">
        <f t="shared" si="7"/>
        <v>1558.58</v>
      </c>
      <c r="U28" s="61">
        <f t="shared" si="7"/>
        <v>1558.58</v>
      </c>
      <c r="V28" s="61">
        <f t="shared" si="7"/>
        <v>1558.58</v>
      </c>
      <c r="W28" s="61">
        <f t="shared" si="7"/>
        <v>1558.58</v>
      </c>
      <c r="X28" s="61">
        <f t="shared" si="7"/>
        <v>1558.58</v>
      </c>
      <c r="Y28" s="61">
        <f t="shared" si="7"/>
        <v>1558.58</v>
      </c>
      <c r="Z28" s="61">
        <f t="shared" si="7"/>
        <v>1558.58</v>
      </c>
      <c r="AA28" s="61">
        <f t="shared" si="7"/>
        <v>1313.07</v>
      </c>
      <c r="AB28" s="61">
        <f t="shared" si="7"/>
        <v>865.49</v>
      </c>
      <c r="AC28" s="61">
        <f t="shared" si="7"/>
        <v>865.49</v>
      </c>
      <c r="AD28" s="61">
        <f t="shared" si="7"/>
        <v>865.49</v>
      </c>
      <c r="AE28" s="61">
        <f t="shared" si="7"/>
        <v>865.49</v>
      </c>
      <c r="AF28" s="61">
        <f t="shared" si="7"/>
        <v>865.49</v>
      </c>
      <c r="AG28" s="61">
        <f t="shared" si="7"/>
        <v>865.49</v>
      </c>
      <c r="AH28" s="61">
        <f t="shared" si="7"/>
        <v>865.49</v>
      </c>
      <c r="AI28" s="61">
        <f t="shared" si="7"/>
        <v>865.49</v>
      </c>
      <c r="AJ28" s="61">
        <f t="shared" si="7"/>
        <v>871.56</v>
      </c>
    </row>
    <row r="29" spans="1:36" ht="12" customHeight="1">
      <c r="A29" s="36">
        <v>6</v>
      </c>
      <c r="B29" s="10" t="s">
        <v>67</v>
      </c>
      <c r="C29" s="18"/>
      <c r="D29" s="61">
        <f>D28</f>
        <v>0</v>
      </c>
      <c r="E29" s="61">
        <f>D29+E28</f>
        <v>-7892</v>
      </c>
      <c r="F29" s="61">
        <f>E29+F28</f>
        <v>-14436</v>
      </c>
      <c r="G29" s="61">
        <f>IF(G5&gt;0,F29+G28,0)</f>
        <v>-12711.65</v>
      </c>
      <c r="H29" s="61">
        <f aca="true" t="shared" si="8" ref="H29:AJ29">IF(H5&gt;0,G29+H28,0)</f>
        <v>-10987.3</v>
      </c>
      <c r="I29" s="61">
        <f t="shared" si="8"/>
        <v>-9306.01</v>
      </c>
      <c r="J29" s="61">
        <f t="shared" si="8"/>
        <v>-7624.72</v>
      </c>
      <c r="K29" s="61">
        <f t="shared" si="8"/>
        <v>-5995.11</v>
      </c>
      <c r="L29" s="61">
        <f t="shared" si="8"/>
        <v>-4365.5</v>
      </c>
      <c r="M29" s="61">
        <f t="shared" si="8"/>
        <v>-2735.89</v>
      </c>
      <c r="N29" s="61">
        <f t="shared" si="8"/>
        <v>-1187.36</v>
      </c>
      <c r="O29" s="61">
        <f t="shared" si="8"/>
        <v>361.17</v>
      </c>
      <c r="P29" s="61">
        <f t="shared" si="8"/>
        <v>1909.7</v>
      </c>
      <c r="Q29" s="61">
        <f t="shared" si="8"/>
        <v>3468.28</v>
      </c>
      <c r="R29" s="61">
        <f t="shared" si="8"/>
        <v>5026.86</v>
      </c>
      <c r="S29" s="61">
        <f t="shared" si="8"/>
        <v>6585.44</v>
      </c>
      <c r="T29" s="61">
        <f t="shared" si="8"/>
        <v>8144.02</v>
      </c>
      <c r="U29" s="61">
        <f t="shared" si="8"/>
        <v>9702.6</v>
      </c>
      <c r="V29" s="61">
        <f t="shared" si="8"/>
        <v>11261.18</v>
      </c>
      <c r="W29" s="61">
        <f t="shared" si="8"/>
        <v>12819.76</v>
      </c>
      <c r="X29" s="61">
        <f t="shared" si="8"/>
        <v>14378.34</v>
      </c>
      <c r="Y29" s="61">
        <f t="shared" si="8"/>
        <v>15936.92</v>
      </c>
      <c r="Z29" s="61">
        <f t="shared" si="8"/>
        <v>17495.5</v>
      </c>
      <c r="AA29" s="61">
        <f t="shared" si="8"/>
        <v>18808.57</v>
      </c>
      <c r="AB29" s="61">
        <f t="shared" si="8"/>
        <v>19674.06</v>
      </c>
      <c r="AC29" s="61">
        <f t="shared" si="8"/>
        <v>20539.55</v>
      </c>
      <c r="AD29" s="61">
        <f t="shared" si="8"/>
        <v>21405.04</v>
      </c>
      <c r="AE29" s="61">
        <f t="shared" si="8"/>
        <v>22270.53</v>
      </c>
      <c r="AF29" s="61">
        <f t="shared" si="8"/>
        <v>23136.02</v>
      </c>
      <c r="AG29" s="61">
        <f t="shared" si="8"/>
        <v>24001.51</v>
      </c>
      <c r="AH29" s="61">
        <f t="shared" si="8"/>
        <v>24867</v>
      </c>
      <c r="AI29" s="61">
        <f t="shared" si="8"/>
        <v>25732.49</v>
      </c>
      <c r="AJ29" s="61">
        <f t="shared" si="8"/>
        <v>26604.05</v>
      </c>
    </row>
    <row r="30" spans="1:36" ht="12" customHeight="1">
      <c r="A30" s="36"/>
      <c r="B30" s="3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2" customHeight="1">
      <c r="A31" s="36"/>
      <c r="B31" s="10" t="s">
        <v>68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18"/>
    </row>
    <row r="32" spans="1:36" ht="12" customHeight="1">
      <c r="A32" s="65" t="s">
        <v>69</v>
      </c>
      <c r="B32" s="10" t="s">
        <v>70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18"/>
    </row>
    <row r="33" spans="1:36" ht="13.5" customHeight="1">
      <c r="A33" s="18"/>
      <c r="B33" s="10" t="s">
        <v>71</v>
      </c>
      <c r="C33" s="66">
        <v>0.1</v>
      </c>
      <c r="D33" s="55"/>
      <c r="E33" s="69">
        <v>1</v>
      </c>
      <c r="F33" s="69">
        <v>1</v>
      </c>
      <c r="G33" s="67">
        <f>IF(G5&gt;0,POWER((1+$C33),(G5)*(-1)),0)</f>
        <v>0.9091</v>
      </c>
      <c r="H33" s="67">
        <f aca="true" t="shared" si="9" ref="H33:AJ33">IF(H5&gt;0,POWER((1+$C33),(H5)*(-1)),0)</f>
        <v>0.8264</v>
      </c>
      <c r="I33" s="67">
        <f t="shared" si="9"/>
        <v>0.7513</v>
      </c>
      <c r="J33" s="67">
        <f t="shared" si="9"/>
        <v>0.683</v>
      </c>
      <c r="K33" s="67">
        <f t="shared" si="9"/>
        <v>0.6209</v>
      </c>
      <c r="L33" s="67">
        <f t="shared" si="9"/>
        <v>0.5645</v>
      </c>
      <c r="M33" s="67">
        <f t="shared" si="9"/>
        <v>0.5132</v>
      </c>
      <c r="N33" s="67">
        <f t="shared" si="9"/>
        <v>0.4665</v>
      </c>
      <c r="O33" s="67">
        <f t="shared" si="9"/>
        <v>0.4241</v>
      </c>
      <c r="P33" s="67">
        <f t="shared" si="9"/>
        <v>0.3855</v>
      </c>
      <c r="Q33" s="67">
        <f t="shared" si="9"/>
        <v>0.3505</v>
      </c>
      <c r="R33" s="67">
        <f t="shared" si="9"/>
        <v>0.3186</v>
      </c>
      <c r="S33" s="67">
        <f t="shared" si="9"/>
        <v>0.2897</v>
      </c>
      <c r="T33" s="67">
        <f t="shared" si="9"/>
        <v>0.2633</v>
      </c>
      <c r="U33" s="67">
        <f t="shared" si="9"/>
        <v>0.2394</v>
      </c>
      <c r="V33" s="67">
        <f t="shared" si="9"/>
        <v>0.2176</v>
      </c>
      <c r="W33" s="67">
        <f t="shared" si="9"/>
        <v>0.1978</v>
      </c>
      <c r="X33" s="67">
        <f t="shared" si="9"/>
        <v>0.1799</v>
      </c>
      <c r="Y33" s="67">
        <f t="shared" si="9"/>
        <v>0.1635</v>
      </c>
      <c r="Z33" s="67">
        <f t="shared" si="9"/>
        <v>0.1486</v>
      </c>
      <c r="AA33" s="67">
        <f t="shared" si="9"/>
        <v>0.1351</v>
      </c>
      <c r="AB33" s="67">
        <f t="shared" si="9"/>
        <v>0.1228</v>
      </c>
      <c r="AC33" s="67">
        <f t="shared" si="9"/>
        <v>0.1117</v>
      </c>
      <c r="AD33" s="67">
        <f t="shared" si="9"/>
        <v>0.1015</v>
      </c>
      <c r="AE33" s="67">
        <f t="shared" si="9"/>
        <v>0.0923</v>
      </c>
      <c r="AF33" s="67">
        <f t="shared" si="9"/>
        <v>0.0839</v>
      </c>
      <c r="AG33" s="67">
        <f t="shared" si="9"/>
        <v>0.0763</v>
      </c>
      <c r="AH33" s="67">
        <f t="shared" si="9"/>
        <v>0.0693</v>
      </c>
      <c r="AI33" s="67">
        <f t="shared" si="9"/>
        <v>0.063</v>
      </c>
      <c r="AJ33" s="67">
        <f t="shared" si="9"/>
        <v>0.0573</v>
      </c>
    </row>
    <row r="34" spans="1:36" ht="12" customHeight="1">
      <c r="A34" s="18"/>
      <c r="B34" s="10" t="s">
        <v>72</v>
      </c>
      <c r="C34" s="61">
        <f>SUM(D34:AJ34)</f>
        <v>255.51</v>
      </c>
      <c r="D34" s="61"/>
      <c r="E34" s="61">
        <f aca="true" t="shared" si="10" ref="E34:AJ34">E28*E33</f>
        <v>-7892</v>
      </c>
      <c r="F34" s="61">
        <f t="shared" si="10"/>
        <v>-6544</v>
      </c>
      <c r="G34" s="61">
        <f t="shared" si="10"/>
        <v>1567.61</v>
      </c>
      <c r="H34" s="61">
        <f t="shared" si="10"/>
        <v>1425</v>
      </c>
      <c r="I34" s="61">
        <f t="shared" si="10"/>
        <v>1263.15</v>
      </c>
      <c r="J34" s="61">
        <f t="shared" si="10"/>
        <v>1148.32</v>
      </c>
      <c r="K34" s="61">
        <f t="shared" si="10"/>
        <v>1011.82</v>
      </c>
      <c r="L34" s="61">
        <f t="shared" si="10"/>
        <v>919.91</v>
      </c>
      <c r="M34" s="61">
        <f t="shared" si="10"/>
        <v>836.32</v>
      </c>
      <c r="N34" s="61">
        <f t="shared" si="10"/>
        <v>722.39</v>
      </c>
      <c r="O34" s="61">
        <f t="shared" si="10"/>
        <v>656.73</v>
      </c>
      <c r="P34" s="61">
        <f t="shared" si="10"/>
        <v>596.96</v>
      </c>
      <c r="Q34" s="61">
        <f t="shared" si="10"/>
        <v>546.28</v>
      </c>
      <c r="R34" s="61">
        <f t="shared" si="10"/>
        <v>496.56</v>
      </c>
      <c r="S34" s="61">
        <f t="shared" si="10"/>
        <v>451.52</v>
      </c>
      <c r="T34" s="61">
        <f t="shared" si="10"/>
        <v>410.37</v>
      </c>
      <c r="U34" s="61">
        <f t="shared" si="10"/>
        <v>373.12</v>
      </c>
      <c r="V34" s="61">
        <f t="shared" si="10"/>
        <v>339.15</v>
      </c>
      <c r="W34" s="61">
        <f t="shared" si="10"/>
        <v>308.29</v>
      </c>
      <c r="X34" s="61">
        <f t="shared" si="10"/>
        <v>280.39</v>
      </c>
      <c r="Y34" s="61">
        <f t="shared" si="10"/>
        <v>254.83</v>
      </c>
      <c r="Z34" s="61">
        <f t="shared" si="10"/>
        <v>231.6</v>
      </c>
      <c r="AA34" s="61">
        <f t="shared" si="10"/>
        <v>177.4</v>
      </c>
      <c r="AB34" s="61">
        <f t="shared" si="10"/>
        <v>106.28</v>
      </c>
      <c r="AC34" s="61">
        <f t="shared" si="10"/>
        <v>96.68</v>
      </c>
      <c r="AD34" s="61">
        <f t="shared" si="10"/>
        <v>87.85</v>
      </c>
      <c r="AE34" s="61">
        <f t="shared" si="10"/>
        <v>79.88</v>
      </c>
      <c r="AF34" s="61">
        <f t="shared" si="10"/>
        <v>72.61</v>
      </c>
      <c r="AG34" s="61">
        <f t="shared" si="10"/>
        <v>66.04</v>
      </c>
      <c r="AH34" s="61">
        <f t="shared" si="10"/>
        <v>59.98</v>
      </c>
      <c r="AI34" s="61">
        <f t="shared" si="10"/>
        <v>54.53</v>
      </c>
      <c r="AJ34" s="61">
        <f t="shared" si="10"/>
        <v>49.94</v>
      </c>
    </row>
    <row r="35" spans="1:36" ht="12" customHeight="1">
      <c r="A35" s="65" t="s">
        <v>236</v>
      </c>
      <c r="B35" s="10" t="s">
        <v>73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18"/>
    </row>
    <row r="36" spans="1:36" ht="12" customHeight="1">
      <c r="A36" s="18"/>
      <c r="B36" s="10" t="s">
        <v>74</v>
      </c>
      <c r="C36" s="68">
        <v>0.102</v>
      </c>
      <c r="D36" s="55"/>
      <c r="E36" s="69">
        <v>1</v>
      </c>
      <c r="F36" s="69">
        <v>1</v>
      </c>
      <c r="G36" s="67">
        <f>IF(G5&gt;0,POWER((1+$C36),(G5)*(-1)),0)</f>
        <v>0.9074</v>
      </c>
      <c r="H36" s="67">
        <f aca="true" t="shared" si="11" ref="H36:AJ36">IF(H5&gt;0,POWER((1+$C36),(H5)*(-1)),0)</f>
        <v>0.8234</v>
      </c>
      <c r="I36" s="67">
        <f t="shared" si="11"/>
        <v>0.7472</v>
      </c>
      <c r="J36" s="67">
        <f t="shared" si="11"/>
        <v>0.6781</v>
      </c>
      <c r="K36" s="67">
        <f t="shared" si="11"/>
        <v>0.6153</v>
      </c>
      <c r="L36" s="67">
        <f t="shared" si="11"/>
        <v>0.5584</v>
      </c>
      <c r="M36" s="67">
        <f t="shared" si="11"/>
        <v>0.5067</v>
      </c>
      <c r="N36" s="67">
        <f t="shared" si="11"/>
        <v>0.4598</v>
      </c>
      <c r="O36" s="67">
        <f t="shared" si="11"/>
        <v>0.4172</v>
      </c>
      <c r="P36" s="67">
        <f t="shared" si="11"/>
        <v>0.3786</v>
      </c>
      <c r="Q36" s="67">
        <f t="shared" si="11"/>
        <v>0.3436</v>
      </c>
      <c r="R36" s="67">
        <f t="shared" si="11"/>
        <v>0.3118</v>
      </c>
      <c r="S36" s="67">
        <f t="shared" si="11"/>
        <v>0.2829</v>
      </c>
      <c r="T36" s="67">
        <f t="shared" si="11"/>
        <v>0.2567</v>
      </c>
      <c r="U36" s="67">
        <f t="shared" si="11"/>
        <v>0.233</v>
      </c>
      <c r="V36" s="67">
        <f t="shared" si="11"/>
        <v>0.2114</v>
      </c>
      <c r="W36" s="67">
        <f t="shared" si="11"/>
        <v>0.1918</v>
      </c>
      <c r="X36" s="67">
        <f t="shared" si="11"/>
        <v>0.1741</v>
      </c>
      <c r="Y36" s="67">
        <f t="shared" si="11"/>
        <v>0.158</v>
      </c>
      <c r="Z36" s="67">
        <f t="shared" si="11"/>
        <v>0.1433</v>
      </c>
      <c r="AA36" s="67">
        <f t="shared" si="11"/>
        <v>0.1301</v>
      </c>
      <c r="AB36" s="67">
        <f t="shared" si="11"/>
        <v>0.118</v>
      </c>
      <c r="AC36" s="67">
        <f t="shared" si="11"/>
        <v>0.1071</v>
      </c>
      <c r="AD36" s="67">
        <f t="shared" si="11"/>
        <v>0.0972</v>
      </c>
      <c r="AE36" s="67">
        <f t="shared" si="11"/>
        <v>0.0882</v>
      </c>
      <c r="AF36" s="67">
        <f t="shared" si="11"/>
        <v>0.08</v>
      </c>
      <c r="AG36" s="67">
        <f t="shared" si="11"/>
        <v>0.0726</v>
      </c>
      <c r="AH36" s="67">
        <f t="shared" si="11"/>
        <v>0.0659</v>
      </c>
      <c r="AI36" s="67">
        <f t="shared" si="11"/>
        <v>0.0598</v>
      </c>
      <c r="AJ36" s="67">
        <f t="shared" si="11"/>
        <v>0.0543</v>
      </c>
    </row>
    <row r="37" spans="1:36" ht="12" customHeight="1">
      <c r="A37" s="18"/>
      <c r="B37" s="10" t="s">
        <v>72</v>
      </c>
      <c r="C37" s="61">
        <f>SUM(D37:AJ37)</f>
        <v>36.92</v>
      </c>
      <c r="D37" s="61"/>
      <c r="E37" s="61">
        <f aca="true" t="shared" si="12" ref="E37:AJ37">E28*E36</f>
        <v>-7892</v>
      </c>
      <c r="F37" s="61">
        <f t="shared" si="12"/>
        <v>-6544</v>
      </c>
      <c r="G37" s="61">
        <f t="shared" si="12"/>
        <v>1564.68</v>
      </c>
      <c r="H37" s="61">
        <f t="shared" si="12"/>
        <v>1419.83</v>
      </c>
      <c r="I37" s="61">
        <f t="shared" si="12"/>
        <v>1256.26</v>
      </c>
      <c r="J37" s="61">
        <f t="shared" si="12"/>
        <v>1140.08</v>
      </c>
      <c r="K37" s="61">
        <f t="shared" si="12"/>
        <v>1002.7</v>
      </c>
      <c r="L37" s="61">
        <f t="shared" si="12"/>
        <v>909.97</v>
      </c>
      <c r="M37" s="61">
        <f t="shared" si="12"/>
        <v>825.72</v>
      </c>
      <c r="N37" s="61">
        <f t="shared" si="12"/>
        <v>712.01</v>
      </c>
      <c r="O37" s="61">
        <f t="shared" si="12"/>
        <v>646.05</v>
      </c>
      <c r="P37" s="61">
        <f t="shared" si="12"/>
        <v>586.27</v>
      </c>
      <c r="Q37" s="61">
        <f t="shared" si="12"/>
        <v>535.53</v>
      </c>
      <c r="R37" s="61">
        <f t="shared" si="12"/>
        <v>485.97</v>
      </c>
      <c r="S37" s="61">
        <f t="shared" si="12"/>
        <v>440.92</v>
      </c>
      <c r="T37" s="61">
        <f t="shared" si="12"/>
        <v>400.09</v>
      </c>
      <c r="U37" s="61">
        <f t="shared" si="12"/>
        <v>363.15</v>
      </c>
      <c r="V37" s="61">
        <f t="shared" si="12"/>
        <v>329.48</v>
      </c>
      <c r="W37" s="61">
        <f t="shared" si="12"/>
        <v>298.94</v>
      </c>
      <c r="X37" s="61">
        <f t="shared" si="12"/>
        <v>271.35</v>
      </c>
      <c r="Y37" s="61">
        <f t="shared" si="12"/>
        <v>246.26</v>
      </c>
      <c r="Z37" s="61">
        <f t="shared" si="12"/>
        <v>223.34</v>
      </c>
      <c r="AA37" s="61">
        <f t="shared" si="12"/>
        <v>170.83</v>
      </c>
      <c r="AB37" s="61">
        <f t="shared" si="12"/>
        <v>102.13</v>
      </c>
      <c r="AC37" s="61">
        <f t="shared" si="12"/>
        <v>92.69</v>
      </c>
      <c r="AD37" s="61">
        <f t="shared" si="12"/>
        <v>84.13</v>
      </c>
      <c r="AE37" s="61">
        <f t="shared" si="12"/>
        <v>76.34</v>
      </c>
      <c r="AF37" s="61">
        <f t="shared" si="12"/>
        <v>69.24</v>
      </c>
      <c r="AG37" s="61">
        <f t="shared" si="12"/>
        <v>62.83</v>
      </c>
      <c r="AH37" s="61">
        <f t="shared" si="12"/>
        <v>57.04</v>
      </c>
      <c r="AI37" s="61">
        <f t="shared" si="12"/>
        <v>51.76</v>
      </c>
      <c r="AJ37" s="61">
        <f t="shared" si="12"/>
        <v>47.33</v>
      </c>
    </row>
    <row r="38" spans="1:36" ht="12" customHeight="1">
      <c r="A38" s="65"/>
      <c r="B38" s="10" t="s">
        <v>75</v>
      </c>
      <c r="C38" s="68">
        <v>0.103</v>
      </c>
      <c r="D38" s="55"/>
      <c r="E38" s="69">
        <v>1</v>
      </c>
      <c r="F38" s="69">
        <v>1</v>
      </c>
      <c r="G38" s="67">
        <f>IF(G5&gt;0,POWER((1+$C38),(G5)*(-1)),0)</f>
        <v>0.9066</v>
      </c>
      <c r="H38" s="67">
        <f aca="true" t="shared" si="13" ref="H38:AJ38">IF(H5&gt;0,POWER((1+$C38),(H5)*(-1)),0)</f>
        <v>0.822</v>
      </c>
      <c r="I38" s="67">
        <f t="shared" si="13"/>
        <v>0.7452</v>
      </c>
      <c r="J38" s="67">
        <f t="shared" si="13"/>
        <v>0.6756</v>
      </c>
      <c r="K38" s="67">
        <f t="shared" si="13"/>
        <v>0.6125</v>
      </c>
      <c r="L38" s="67">
        <f t="shared" si="13"/>
        <v>0.5553</v>
      </c>
      <c r="M38" s="67">
        <f t="shared" si="13"/>
        <v>0.5035</v>
      </c>
      <c r="N38" s="67">
        <f t="shared" si="13"/>
        <v>0.4565</v>
      </c>
      <c r="O38" s="67">
        <f t="shared" si="13"/>
        <v>0.4138</v>
      </c>
      <c r="P38" s="67">
        <f t="shared" si="13"/>
        <v>0.3752</v>
      </c>
      <c r="Q38" s="67">
        <f t="shared" si="13"/>
        <v>0.3401</v>
      </c>
      <c r="R38" s="67">
        <f t="shared" si="13"/>
        <v>0.3084</v>
      </c>
      <c r="S38" s="67">
        <f t="shared" si="13"/>
        <v>0.2796</v>
      </c>
      <c r="T38" s="67">
        <f t="shared" si="13"/>
        <v>0.2535</v>
      </c>
      <c r="U38" s="67">
        <f t="shared" si="13"/>
        <v>0.2298</v>
      </c>
      <c r="V38" s="67">
        <f t="shared" si="13"/>
        <v>0.2083</v>
      </c>
      <c r="W38" s="67">
        <f t="shared" si="13"/>
        <v>0.1889</v>
      </c>
      <c r="X38" s="67">
        <f t="shared" si="13"/>
        <v>0.1713</v>
      </c>
      <c r="Y38" s="67">
        <f t="shared" si="13"/>
        <v>0.1553</v>
      </c>
      <c r="Z38" s="67">
        <f t="shared" si="13"/>
        <v>0.1408</v>
      </c>
      <c r="AA38" s="67">
        <f t="shared" si="13"/>
        <v>0.1276</v>
      </c>
      <c r="AB38" s="67">
        <f t="shared" si="13"/>
        <v>0.1157</v>
      </c>
      <c r="AC38" s="67">
        <f t="shared" si="13"/>
        <v>0.1049</v>
      </c>
      <c r="AD38" s="67">
        <f t="shared" si="13"/>
        <v>0.0951</v>
      </c>
      <c r="AE38" s="67">
        <f t="shared" si="13"/>
        <v>0.0862</v>
      </c>
      <c r="AF38" s="67">
        <f t="shared" si="13"/>
        <v>0.0782</v>
      </c>
      <c r="AG38" s="67">
        <f t="shared" si="13"/>
        <v>0.0709</v>
      </c>
      <c r="AH38" s="67">
        <f t="shared" si="13"/>
        <v>0.0643</v>
      </c>
      <c r="AI38" s="67">
        <f t="shared" si="13"/>
        <v>0.0583</v>
      </c>
      <c r="AJ38" s="67">
        <f t="shared" si="13"/>
        <v>0.0528</v>
      </c>
    </row>
    <row r="39" spans="1:36" ht="12" customHeight="1">
      <c r="A39" s="65"/>
      <c r="B39" s="10" t="s">
        <v>72</v>
      </c>
      <c r="C39" s="61">
        <f>SUM(D39:AJ39)</f>
        <v>-70.34</v>
      </c>
      <c r="D39" s="61">
        <f aca="true" t="shared" si="14" ref="D39:AJ39">D28*D38</f>
        <v>0</v>
      </c>
      <c r="E39" s="61">
        <f t="shared" si="14"/>
        <v>-7892</v>
      </c>
      <c r="F39" s="61">
        <f t="shared" si="14"/>
        <v>-6544</v>
      </c>
      <c r="G39" s="61">
        <f t="shared" si="14"/>
        <v>1563.3</v>
      </c>
      <c r="H39" s="61">
        <f t="shared" si="14"/>
        <v>1417.42</v>
      </c>
      <c r="I39" s="61">
        <f t="shared" si="14"/>
        <v>1252.9</v>
      </c>
      <c r="J39" s="61">
        <f t="shared" si="14"/>
        <v>1135.88</v>
      </c>
      <c r="K39" s="61">
        <f t="shared" si="14"/>
        <v>998.14</v>
      </c>
      <c r="L39" s="61">
        <f t="shared" si="14"/>
        <v>904.92</v>
      </c>
      <c r="M39" s="61">
        <f t="shared" si="14"/>
        <v>820.51</v>
      </c>
      <c r="N39" s="61">
        <f t="shared" si="14"/>
        <v>706.9</v>
      </c>
      <c r="O39" s="61">
        <f t="shared" si="14"/>
        <v>640.78</v>
      </c>
      <c r="P39" s="61">
        <f t="shared" si="14"/>
        <v>581.01</v>
      </c>
      <c r="Q39" s="61">
        <f t="shared" si="14"/>
        <v>530.07</v>
      </c>
      <c r="R39" s="61">
        <f t="shared" si="14"/>
        <v>480.67</v>
      </c>
      <c r="S39" s="61">
        <f t="shared" si="14"/>
        <v>435.78</v>
      </c>
      <c r="T39" s="61">
        <f t="shared" si="14"/>
        <v>395.1</v>
      </c>
      <c r="U39" s="61">
        <f t="shared" si="14"/>
        <v>358.16</v>
      </c>
      <c r="V39" s="61">
        <f t="shared" si="14"/>
        <v>324.65</v>
      </c>
      <c r="W39" s="61">
        <f t="shared" si="14"/>
        <v>294.42</v>
      </c>
      <c r="X39" s="61">
        <f t="shared" si="14"/>
        <v>266.98</v>
      </c>
      <c r="Y39" s="61">
        <f t="shared" si="14"/>
        <v>242.05</v>
      </c>
      <c r="Z39" s="61">
        <f t="shared" si="14"/>
        <v>219.45</v>
      </c>
      <c r="AA39" s="61">
        <f t="shared" si="14"/>
        <v>167.55</v>
      </c>
      <c r="AB39" s="61">
        <f t="shared" si="14"/>
        <v>100.14</v>
      </c>
      <c r="AC39" s="61">
        <f t="shared" si="14"/>
        <v>90.79</v>
      </c>
      <c r="AD39" s="61">
        <f t="shared" si="14"/>
        <v>82.31</v>
      </c>
      <c r="AE39" s="61">
        <f t="shared" si="14"/>
        <v>74.61</v>
      </c>
      <c r="AF39" s="61">
        <f t="shared" si="14"/>
        <v>67.68</v>
      </c>
      <c r="AG39" s="61">
        <f t="shared" si="14"/>
        <v>61.36</v>
      </c>
      <c r="AH39" s="61">
        <f t="shared" si="14"/>
        <v>55.65</v>
      </c>
      <c r="AI39" s="61">
        <f t="shared" si="14"/>
        <v>50.46</v>
      </c>
      <c r="AJ39" s="61">
        <f t="shared" si="14"/>
        <v>46.02</v>
      </c>
    </row>
    <row r="40" spans="1:36" ht="12" customHeight="1">
      <c r="A40" s="182" t="s">
        <v>237</v>
      </c>
      <c r="B40" s="186" t="s">
        <v>76</v>
      </c>
      <c r="C40" s="69">
        <f>SUM(G40:AJ40)</f>
        <v>8</v>
      </c>
      <c r="D40" s="69"/>
      <c r="E40" s="69"/>
      <c r="F40" s="69"/>
      <c r="G40" s="69">
        <f aca="true" t="shared" si="15" ref="G40:AJ40">IF(AND(G29&lt;0,H29&gt;0),G5,"")</f>
      </c>
      <c r="H40" s="69">
        <f t="shared" si="15"/>
      </c>
      <c r="I40" s="69">
        <f t="shared" si="15"/>
      </c>
      <c r="J40" s="69">
        <f t="shared" si="15"/>
      </c>
      <c r="K40" s="69">
        <f t="shared" si="15"/>
      </c>
      <c r="L40" s="69">
        <f t="shared" si="15"/>
      </c>
      <c r="M40" s="69">
        <f t="shared" si="15"/>
      </c>
      <c r="N40" s="69">
        <f t="shared" si="15"/>
        <v>8</v>
      </c>
      <c r="O40" s="69">
        <f t="shared" si="15"/>
      </c>
      <c r="P40" s="69">
        <f t="shared" si="15"/>
      </c>
      <c r="Q40" s="69">
        <f t="shared" si="15"/>
      </c>
      <c r="R40" s="69">
        <f t="shared" si="15"/>
      </c>
      <c r="S40" s="69">
        <f t="shared" si="15"/>
      </c>
      <c r="T40" s="69">
        <f t="shared" si="15"/>
      </c>
      <c r="U40" s="69">
        <f t="shared" si="15"/>
      </c>
      <c r="V40" s="69">
        <f t="shared" si="15"/>
      </c>
      <c r="W40" s="69">
        <f t="shared" si="15"/>
      </c>
      <c r="X40" s="69">
        <f t="shared" si="15"/>
      </c>
      <c r="Y40" s="69">
        <f t="shared" si="15"/>
      </c>
      <c r="Z40" s="69">
        <f t="shared" si="15"/>
      </c>
      <c r="AA40" s="69">
        <f t="shared" si="15"/>
      </c>
      <c r="AB40" s="69">
        <f t="shared" si="15"/>
      </c>
      <c r="AC40" s="69">
        <f t="shared" si="15"/>
      </c>
      <c r="AD40" s="69">
        <f t="shared" si="15"/>
      </c>
      <c r="AE40" s="69">
        <f t="shared" si="15"/>
      </c>
      <c r="AF40" s="69">
        <f t="shared" si="15"/>
      </c>
      <c r="AG40" s="69">
        <f t="shared" si="15"/>
      </c>
      <c r="AH40" s="69">
        <f t="shared" si="15"/>
      </c>
      <c r="AI40" s="69">
        <f t="shared" si="15"/>
      </c>
      <c r="AJ40" s="69">
        <f t="shared" si="15"/>
      </c>
    </row>
    <row r="41" spans="1:36" ht="12" customHeight="1">
      <c r="A41" s="183"/>
      <c r="B41" s="187"/>
      <c r="C41" s="61">
        <f>SUM(G41:AJ41)</f>
        <v>1548.53</v>
      </c>
      <c r="D41" s="61"/>
      <c r="E41" s="61"/>
      <c r="F41" s="61"/>
      <c r="G41" s="61">
        <f>IF(AND(G29&lt;0,H29&gt;0),H28,"")</f>
      </c>
      <c r="H41" s="61">
        <f aca="true" t="shared" si="16" ref="H41:AJ41">IF(AND(H29&lt;0,I29&gt;0),I28,"")</f>
      </c>
      <c r="I41" s="61">
        <f t="shared" si="16"/>
      </c>
      <c r="J41" s="61">
        <f t="shared" si="16"/>
      </c>
      <c r="K41" s="61">
        <f t="shared" si="16"/>
      </c>
      <c r="L41" s="61">
        <f t="shared" si="16"/>
      </c>
      <c r="M41" s="61">
        <f t="shared" si="16"/>
      </c>
      <c r="N41" s="61">
        <f t="shared" si="16"/>
        <v>1548.53</v>
      </c>
      <c r="O41" s="61">
        <f t="shared" si="16"/>
      </c>
      <c r="P41" s="61">
        <f t="shared" si="16"/>
      </c>
      <c r="Q41" s="61">
        <f t="shared" si="16"/>
      </c>
      <c r="R41" s="61">
        <f t="shared" si="16"/>
      </c>
      <c r="S41" s="61">
        <f t="shared" si="16"/>
      </c>
      <c r="T41" s="61">
        <f t="shared" si="16"/>
      </c>
      <c r="U41" s="61">
        <f t="shared" si="16"/>
      </c>
      <c r="V41" s="61">
        <f t="shared" si="16"/>
      </c>
      <c r="W41" s="61">
        <f t="shared" si="16"/>
      </c>
      <c r="X41" s="61">
        <f t="shared" si="16"/>
      </c>
      <c r="Y41" s="61">
        <f t="shared" si="16"/>
      </c>
      <c r="Z41" s="61">
        <f t="shared" si="16"/>
      </c>
      <c r="AA41" s="61">
        <f t="shared" si="16"/>
      </c>
      <c r="AB41" s="61">
        <f t="shared" si="16"/>
      </c>
      <c r="AC41" s="61">
        <f t="shared" si="16"/>
      </c>
      <c r="AD41" s="61">
        <f t="shared" si="16"/>
      </c>
      <c r="AE41" s="61">
        <f t="shared" si="16"/>
      </c>
      <c r="AF41" s="61">
        <f t="shared" si="16"/>
      </c>
      <c r="AG41" s="61">
        <f t="shared" si="16"/>
      </c>
      <c r="AH41" s="61">
        <f t="shared" si="16"/>
      </c>
      <c r="AI41" s="61">
        <f t="shared" si="16"/>
      </c>
      <c r="AJ41" s="61">
        <f t="shared" si="16"/>
      </c>
    </row>
    <row r="42" spans="1:36" ht="12" customHeight="1">
      <c r="A42" s="183"/>
      <c r="B42" s="188"/>
      <c r="C42" s="61">
        <f>SUM(G42:AJ42)</f>
        <v>-1187.36</v>
      </c>
      <c r="D42" s="61"/>
      <c r="E42" s="61"/>
      <c r="F42" s="61"/>
      <c r="G42" s="61">
        <f>IF(AND(G29&lt;0,H29&gt;0),G29,"")</f>
      </c>
      <c r="H42" s="61">
        <f aca="true" t="shared" si="17" ref="H42:P42">IF(AND(H29&lt;0,I29&gt;0),H29,"")</f>
      </c>
      <c r="I42" s="61">
        <f t="shared" si="17"/>
      </c>
      <c r="J42" s="61">
        <f t="shared" si="17"/>
      </c>
      <c r="K42" s="61">
        <f t="shared" si="17"/>
      </c>
      <c r="L42" s="61">
        <f t="shared" si="17"/>
      </c>
      <c r="M42" s="61">
        <f t="shared" si="17"/>
      </c>
      <c r="N42" s="61">
        <f t="shared" si="17"/>
        <v>-1187.36</v>
      </c>
      <c r="O42" s="61">
        <f t="shared" si="17"/>
      </c>
      <c r="P42" s="61">
        <f t="shared" si="17"/>
      </c>
      <c r="Q42" s="61">
        <f aca="true" t="shared" si="18" ref="Q42:AJ42">IF(AND(Q29&lt;0,R29&gt;0),Q29,"")</f>
      </c>
      <c r="R42" s="61">
        <f t="shared" si="18"/>
      </c>
      <c r="S42" s="61">
        <f t="shared" si="18"/>
      </c>
      <c r="T42" s="61">
        <f t="shared" si="18"/>
      </c>
      <c r="U42" s="61">
        <f t="shared" si="18"/>
      </c>
      <c r="V42" s="61">
        <f t="shared" si="18"/>
      </c>
      <c r="W42" s="61">
        <f t="shared" si="18"/>
      </c>
      <c r="X42" s="61">
        <f t="shared" si="18"/>
      </c>
      <c r="Y42" s="61">
        <f t="shared" si="18"/>
      </c>
      <c r="Z42" s="61">
        <f t="shared" si="18"/>
      </c>
      <c r="AA42" s="61">
        <f t="shared" si="18"/>
      </c>
      <c r="AB42" s="61">
        <f t="shared" si="18"/>
      </c>
      <c r="AC42" s="61">
        <f t="shared" si="18"/>
      </c>
      <c r="AD42" s="61">
        <f t="shared" si="18"/>
      </c>
      <c r="AE42" s="61">
        <f t="shared" si="18"/>
      </c>
      <c r="AF42" s="61">
        <f t="shared" si="18"/>
      </c>
      <c r="AG42" s="61">
        <f t="shared" si="18"/>
      </c>
      <c r="AH42" s="61">
        <f t="shared" si="18"/>
      </c>
      <c r="AI42" s="61">
        <f t="shared" si="18"/>
      </c>
      <c r="AJ42" s="61">
        <f t="shared" si="18"/>
      </c>
    </row>
    <row r="43" spans="1:36" ht="12" customHeight="1">
      <c r="A43" s="184"/>
      <c r="B43" s="10" t="s">
        <v>77</v>
      </c>
      <c r="C43" s="60">
        <f>MAX(D5:F5)+C40+ABS(C42)/C41</f>
        <v>10.77</v>
      </c>
      <c r="D43" s="60"/>
      <c r="E43" s="60"/>
      <c r="F43" s="60"/>
      <c r="G43" s="185" t="str">
        <f>"Construction Period  "&amp;MAX(D5:F5)&amp;" years + Operation Period "&amp;ROUND(C40,2)&amp;" years + |"&amp;ROUND(C42,2)&amp;"|÷"&amp;ROUND(C41,2)&amp;" = "&amp;ROUND(C43,2)&amp;" years"</f>
        <v>Construction Period  2 years + Operation Period 8 years + |-1187.36|÷1548.53 = 10.77 years</v>
      </c>
      <c r="H43" s="185"/>
      <c r="I43" s="185"/>
      <c r="J43" s="185"/>
      <c r="K43" s="185"/>
      <c r="L43" s="185"/>
      <c r="M43" s="185"/>
      <c r="N43" s="70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18"/>
    </row>
    <row r="44" spans="1:36" ht="12" customHeight="1">
      <c r="A44" s="65" t="s">
        <v>238</v>
      </c>
      <c r="B44" s="10" t="s">
        <v>78</v>
      </c>
      <c r="C44" s="71">
        <f>C36+C37/(C37+ABS(C39))*(C38-C36)</f>
        <v>0.1023</v>
      </c>
      <c r="D44" s="66"/>
      <c r="E44" s="66"/>
      <c r="F44" s="66"/>
      <c r="G44" s="180" t="str">
        <f>ROUND(C36*100,2)&amp;"% + "&amp;ROUND(C37,2)&amp;" ÷ ("&amp;ROUND(C37,2)&amp;" + |"&amp;ROUND(C39,2)&amp;"|)×("&amp;ROUND(C38*100,2)&amp;" - "&amp;C36*100&amp;")% = "&amp;ROUND(C44*100,2)&amp;"%"</f>
        <v>10.2% + 36.92 ÷ (36.92 + |-70.34|)×(10.3 - 10.2)% = 10.23%</v>
      </c>
      <c r="H44" s="180"/>
      <c r="I44" s="180"/>
      <c r="J44" s="180"/>
      <c r="K44" s="180"/>
      <c r="L44" s="180"/>
      <c r="M44" s="180"/>
      <c r="N44" s="72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18"/>
    </row>
    <row r="47" ht="12" customHeight="1">
      <c r="C47" s="73"/>
    </row>
    <row r="48" spans="3:36" ht="12" customHeight="1">
      <c r="C48" s="162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</row>
    <row r="50" ht="12" customHeight="1">
      <c r="F50" s="162"/>
    </row>
  </sheetData>
  <sheetProtection/>
  <mergeCells count="16">
    <mergeCell ref="G44:M44"/>
    <mergeCell ref="A2:B2"/>
    <mergeCell ref="C2:J2"/>
    <mergeCell ref="A40:A43"/>
    <mergeCell ref="G43:M43"/>
    <mergeCell ref="B40:B42"/>
    <mergeCell ref="A6:A10"/>
    <mergeCell ref="A4:A5"/>
    <mergeCell ref="G4:M4"/>
    <mergeCell ref="B4:B5"/>
    <mergeCell ref="C4:C5"/>
    <mergeCell ref="N2:U2"/>
    <mergeCell ref="Y2:AG2"/>
    <mergeCell ref="N4:X4"/>
    <mergeCell ref="Y4:AJ4"/>
    <mergeCell ref="D4:F4"/>
  </mergeCells>
  <printOptions horizontalCentered="1"/>
  <pageMargins left="0.5511811023622047" right="0.5511811023622047" top="0.7874015748031497" bottom="0.5905511811023623" header="0.5118110236220472" footer="0.5118110236220472"/>
  <pageSetup blackAndWhite="1" horizontalDpi="300" verticalDpi="300" orientation="landscape" paperSize="9" scale="85" r:id="rId1"/>
  <headerFooter alignWithMargins="0">
    <oddFooter>&amp;C&amp;P</oddFooter>
  </headerFooter>
  <colBreaks count="2" manualBreakCount="2">
    <brk id="13" max="65535" man="1"/>
    <brk id="24" max="65535" man="1"/>
  </colBreaks>
  <ignoredErrors>
    <ignoredError sqref="D28:F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Q48"/>
  <sheetViews>
    <sheetView showGridLines="0" showZeros="0" zoomScale="90" zoomScaleNormal="90" zoomScalePageLayoutView="0" workbookViewId="0" topLeftCell="A19">
      <selection activeCell="L43" sqref="L43"/>
    </sheetView>
  </sheetViews>
  <sheetFormatPr defaultColWidth="9.00390625" defaultRowHeight="14.25"/>
  <cols>
    <col min="1" max="1" width="5.75390625" style="76" customWidth="1"/>
    <col min="2" max="2" width="41.375" style="75" customWidth="1"/>
    <col min="3" max="3" width="10.75390625" style="75" customWidth="1"/>
    <col min="4" max="6" width="8.75390625" style="75" customWidth="1"/>
    <col min="7" max="7" width="15.625" style="75" customWidth="1"/>
    <col min="8" max="8" width="9.75390625" style="75" bestFit="1" customWidth="1"/>
    <col min="9" max="10" width="9.00390625" style="75" customWidth="1"/>
    <col min="11" max="12" width="9.75390625" style="75" bestFit="1" customWidth="1"/>
    <col min="13" max="16384" width="9.00390625" style="75" customWidth="1"/>
  </cols>
  <sheetData>
    <row r="1" spans="1:7" ht="24.75" customHeight="1">
      <c r="A1" s="74" t="s">
        <v>272</v>
      </c>
      <c r="B1" s="173" t="str">
        <f>Instruction!A16&amp;"-Investment Plan"</f>
        <v>Jinshizi Hydropower Station Finance Analysis-Investment Plan</v>
      </c>
      <c r="C1" s="173"/>
      <c r="D1" s="173"/>
      <c r="E1" s="173"/>
      <c r="F1" s="173"/>
      <c r="G1" s="173"/>
    </row>
    <row r="2" spans="2:7" ht="15" customHeight="1">
      <c r="B2" s="4"/>
      <c r="C2" s="4"/>
      <c r="D2" s="4"/>
      <c r="F2" s="77"/>
      <c r="G2" s="57" t="s">
        <v>80</v>
      </c>
    </row>
    <row r="3" spans="1:7" ht="15" customHeight="1">
      <c r="A3" s="189" t="s">
        <v>266</v>
      </c>
      <c r="B3" s="189" t="s">
        <v>267</v>
      </c>
      <c r="C3" s="205" t="s">
        <v>284</v>
      </c>
      <c r="D3" s="205" t="s">
        <v>285</v>
      </c>
      <c r="E3" s="212"/>
      <c r="F3" s="212"/>
      <c r="G3" s="213"/>
    </row>
    <row r="4" spans="1:7" ht="15" customHeight="1">
      <c r="A4" s="190"/>
      <c r="B4" s="190"/>
      <c r="C4" s="206"/>
      <c r="D4" s="206"/>
      <c r="E4" s="214"/>
      <c r="F4" s="214"/>
      <c r="G4" s="215"/>
    </row>
    <row r="5" spans="1:7" ht="15" customHeight="1">
      <c r="A5" s="186" t="s">
        <v>273</v>
      </c>
      <c r="B5" s="11" t="s">
        <v>274</v>
      </c>
      <c r="C5" s="78">
        <v>30</v>
      </c>
      <c r="D5" s="216" t="s">
        <v>81</v>
      </c>
      <c r="E5" s="217"/>
      <c r="F5" s="217"/>
      <c r="G5" s="218"/>
    </row>
    <row r="6" spans="1:17" ht="15" customHeight="1">
      <c r="A6" s="187"/>
      <c r="B6" s="10" t="s">
        <v>275</v>
      </c>
      <c r="C6" s="78">
        <v>20</v>
      </c>
      <c r="D6" s="216" t="s">
        <v>82</v>
      </c>
      <c r="E6" s="217"/>
      <c r="F6" s="217"/>
      <c r="G6" s="218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7" ht="15" customHeight="1">
      <c r="A7" s="187"/>
      <c r="B7" s="10" t="s">
        <v>276</v>
      </c>
      <c r="C7" s="68">
        <v>1</v>
      </c>
      <c r="D7" s="216" t="s">
        <v>83</v>
      </c>
      <c r="E7" s="217"/>
      <c r="F7" s="217"/>
      <c r="G7" s="218"/>
    </row>
    <row r="8" spans="1:7" ht="15" customHeight="1">
      <c r="A8" s="187"/>
      <c r="B8" s="10" t="s">
        <v>277</v>
      </c>
      <c r="C8" s="68">
        <v>0</v>
      </c>
      <c r="D8" s="216" t="s">
        <v>84</v>
      </c>
      <c r="E8" s="217"/>
      <c r="F8" s="217"/>
      <c r="G8" s="218"/>
    </row>
    <row r="9" spans="1:7" ht="15" customHeight="1">
      <c r="A9" s="187"/>
      <c r="B9" s="10" t="s">
        <v>278</v>
      </c>
      <c r="C9" s="66">
        <f>1/C6</f>
        <v>0.05</v>
      </c>
      <c r="D9" s="216" t="s">
        <v>85</v>
      </c>
      <c r="E9" s="217"/>
      <c r="F9" s="217"/>
      <c r="G9" s="218"/>
    </row>
    <row r="10" spans="1:17" ht="15" customHeight="1">
      <c r="A10" s="187"/>
      <c r="B10" s="12" t="s">
        <v>279</v>
      </c>
      <c r="C10" s="68">
        <v>0.0576</v>
      </c>
      <c r="D10" s="195" t="s">
        <v>286</v>
      </c>
      <c r="E10" s="219"/>
      <c r="F10" s="219"/>
      <c r="G10" s="196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7" ht="15" customHeight="1">
      <c r="A11" s="187"/>
      <c r="B11" s="10" t="s">
        <v>280</v>
      </c>
      <c r="C11" s="68">
        <v>0</v>
      </c>
      <c r="D11" s="195" t="s">
        <v>86</v>
      </c>
      <c r="E11" s="219"/>
      <c r="F11" s="219"/>
      <c r="G11" s="196"/>
    </row>
    <row r="12" spans="1:7" ht="15" customHeight="1">
      <c r="A12" s="188"/>
      <c r="B12" s="12" t="s">
        <v>281</v>
      </c>
      <c r="C12" s="79">
        <v>0.2184</v>
      </c>
      <c r="D12" s="195" t="s">
        <v>87</v>
      </c>
      <c r="E12" s="200"/>
      <c r="F12" s="200"/>
      <c r="G12" s="201"/>
    </row>
    <row r="13" spans="1:7" ht="15" customHeight="1">
      <c r="A13" s="186" t="s">
        <v>282</v>
      </c>
      <c r="B13" s="10" t="s">
        <v>278</v>
      </c>
      <c r="C13" s="68">
        <v>0</v>
      </c>
      <c r="D13" s="192" t="s">
        <v>88</v>
      </c>
      <c r="E13" s="193"/>
      <c r="F13" s="193"/>
      <c r="G13" s="194"/>
    </row>
    <row r="14" spans="1:7" ht="15" customHeight="1">
      <c r="A14" s="188"/>
      <c r="B14" s="12" t="s">
        <v>283</v>
      </c>
      <c r="C14" s="68">
        <v>0</v>
      </c>
      <c r="D14" s="192" t="s">
        <v>89</v>
      </c>
      <c r="E14" s="193"/>
      <c r="F14" s="193"/>
      <c r="G14" s="194"/>
    </row>
    <row r="15" spans="1:7" ht="7.5" customHeight="1">
      <c r="A15" s="226"/>
      <c r="B15" s="226"/>
      <c r="C15" s="226"/>
      <c r="D15" s="226"/>
      <c r="E15" s="226"/>
      <c r="F15" s="226"/>
      <c r="G15" s="226"/>
    </row>
    <row r="16" spans="1:7" ht="15" customHeight="1">
      <c r="A16" s="189" t="s">
        <v>266</v>
      </c>
      <c r="B16" s="189" t="s">
        <v>267</v>
      </c>
      <c r="C16" s="205" t="s">
        <v>269</v>
      </c>
      <c r="D16" s="205" t="s">
        <v>270</v>
      </c>
      <c r="E16" s="212"/>
      <c r="F16" s="213"/>
      <c r="G16" s="189" t="s">
        <v>285</v>
      </c>
    </row>
    <row r="17" spans="1:7" ht="15" customHeight="1">
      <c r="A17" s="202"/>
      <c r="B17" s="202"/>
      <c r="C17" s="206"/>
      <c r="D17" s="80">
        <v>0</v>
      </c>
      <c r="E17" s="80">
        <v>1</v>
      </c>
      <c r="F17" s="80">
        <v>2</v>
      </c>
      <c r="G17" s="202"/>
    </row>
    <row r="18" spans="1:7" ht="15" customHeight="1">
      <c r="A18" s="81">
        <v>1</v>
      </c>
      <c r="B18" s="13" t="s">
        <v>287</v>
      </c>
      <c r="C18" s="82">
        <f>SUM(D18:F18)</f>
        <v>14885.67</v>
      </c>
      <c r="D18" s="63">
        <f>SUM(D19:D21)</f>
        <v>0</v>
      </c>
      <c r="E18" s="63">
        <f>SUM(E19:E21)</f>
        <v>8002.82</v>
      </c>
      <c r="F18" s="63">
        <f>SUM(F19:F21)</f>
        <v>6882.85</v>
      </c>
      <c r="G18" s="63"/>
    </row>
    <row r="19" spans="1:9" ht="15" customHeight="1">
      <c r="A19" s="36">
        <v>1.1</v>
      </c>
      <c r="B19" s="13" t="s">
        <v>288</v>
      </c>
      <c r="C19" s="82">
        <f>SUM(D19:F19)</f>
        <v>14430</v>
      </c>
      <c r="D19" s="63">
        <f>D26+D27+D29</f>
        <v>0</v>
      </c>
      <c r="E19" s="63">
        <f>E26+E27+E29</f>
        <v>7892</v>
      </c>
      <c r="F19" s="63">
        <f>F26+F27+F29</f>
        <v>6538</v>
      </c>
      <c r="G19" s="14" t="s">
        <v>291</v>
      </c>
      <c r="H19" s="83"/>
      <c r="I19" s="84"/>
    </row>
    <row r="20" spans="1:10" ht="15" customHeight="1">
      <c r="A20" s="36">
        <v>1.2</v>
      </c>
      <c r="B20" s="13" t="s">
        <v>289</v>
      </c>
      <c r="C20" s="82">
        <f>SUM(D20:F20)</f>
        <v>449.67</v>
      </c>
      <c r="D20" s="63">
        <f>D30</f>
        <v>0</v>
      </c>
      <c r="E20" s="63">
        <f>E30</f>
        <v>110.82</v>
      </c>
      <c r="F20" s="63">
        <f>F30</f>
        <v>338.85</v>
      </c>
      <c r="G20" s="63"/>
      <c r="H20" s="83"/>
      <c r="I20" s="51"/>
      <c r="J20" s="51"/>
    </row>
    <row r="21" spans="1:10" ht="15" customHeight="1">
      <c r="A21" s="36">
        <v>1.3</v>
      </c>
      <c r="B21" s="13" t="s">
        <v>290</v>
      </c>
      <c r="C21" s="82">
        <f>SUM(D21:F21)</f>
        <v>6</v>
      </c>
      <c r="D21" s="63">
        <f>D25+D31</f>
        <v>0</v>
      </c>
      <c r="E21" s="63">
        <f>E25+E31</f>
        <v>0</v>
      </c>
      <c r="F21" s="63">
        <f>F25+F31</f>
        <v>6</v>
      </c>
      <c r="G21" s="63"/>
      <c r="I21" s="51"/>
      <c r="J21" s="51"/>
    </row>
    <row r="22" spans="1:7" ht="7.5" customHeight="1">
      <c r="A22" s="223"/>
      <c r="B22" s="224"/>
      <c r="C22" s="224"/>
      <c r="D22" s="224"/>
      <c r="E22" s="224"/>
      <c r="F22" s="224"/>
      <c r="G22" s="225"/>
    </row>
    <row r="23" spans="1:7" ht="15" customHeight="1">
      <c r="A23" s="36">
        <v>2</v>
      </c>
      <c r="B23" s="15" t="s">
        <v>292</v>
      </c>
      <c r="C23" s="82">
        <f>SUM(D23:F23)</f>
        <v>14885.67</v>
      </c>
      <c r="D23" s="63">
        <f>SUM(D24,D28,D31)</f>
        <v>0</v>
      </c>
      <c r="E23" s="63">
        <f>SUM(E24,E28,E31)</f>
        <v>8002.82</v>
      </c>
      <c r="F23" s="63">
        <f>SUM(F24,F28,F31)</f>
        <v>6882.85</v>
      </c>
      <c r="G23" s="63"/>
    </row>
    <row r="24" spans="1:7" ht="15" customHeight="1">
      <c r="A24" s="36">
        <v>2.1</v>
      </c>
      <c r="B24" s="16" t="s">
        <v>293</v>
      </c>
      <c r="C24" s="82">
        <f>SUM(D24:F24)</f>
        <v>6740</v>
      </c>
      <c r="D24" s="63">
        <f>SUM(D25:D27)</f>
        <v>0</v>
      </c>
      <c r="E24" s="63">
        <f>SUM(E25:E27)</f>
        <v>4044</v>
      </c>
      <c r="F24" s="63">
        <f>SUM(F25:F27)</f>
        <v>2696</v>
      </c>
      <c r="G24" s="63"/>
    </row>
    <row r="25" spans="1:7" ht="15" customHeight="1">
      <c r="A25" s="36" t="s">
        <v>243</v>
      </c>
      <c r="B25" s="12" t="s">
        <v>294</v>
      </c>
      <c r="C25" s="82">
        <f>SUM(D25:F25)</f>
        <v>6</v>
      </c>
      <c r="D25" s="85">
        <f>J25</f>
        <v>0</v>
      </c>
      <c r="E25" s="85"/>
      <c r="F25" s="85">
        <v>6</v>
      </c>
      <c r="G25" s="63"/>
    </row>
    <row r="26" spans="1:7" ht="15" customHeight="1">
      <c r="A26" s="36" t="s">
        <v>244</v>
      </c>
      <c r="B26" s="12" t="s">
        <v>295</v>
      </c>
      <c r="C26" s="82">
        <f aca="true" t="shared" si="0" ref="C26:C31">SUM(D26:F26)</f>
        <v>6734</v>
      </c>
      <c r="D26" s="85">
        <f>J26</f>
        <v>0</v>
      </c>
      <c r="E26" s="85">
        <v>4044</v>
      </c>
      <c r="F26" s="85">
        <v>2690</v>
      </c>
      <c r="G26" s="63">
        <f>G24-G25</f>
        <v>0</v>
      </c>
    </row>
    <row r="27" spans="1:7" ht="15" customHeight="1">
      <c r="A27" s="36" t="s">
        <v>265</v>
      </c>
      <c r="B27" s="12" t="s">
        <v>296</v>
      </c>
      <c r="C27" s="82">
        <f t="shared" si="0"/>
        <v>0</v>
      </c>
      <c r="D27" s="85">
        <f>J27</f>
        <v>0</v>
      </c>
      <c r="E27" s="85">
        <v>0</v>
      </c>
      <c r="F27" s="85">
        <v>0</v>
      </c>
      <c r="G27" s="14" t="s">
        <v>304</v>
      </c>
    </row>
    <row r="28" spans="1:7" ht="15" customHeight="1">
      <c r="A28" s="36">
        <v>2.2</v>
      </c>
      <c r="B28" s="12" t="s">
        <v>297</v>
      </c>
      <c r="C28" s="82">
        <f t="shared" si="0"/>
        <v>8145.67</v>
      </c>
      <c r="D28" s="63">
        <f>D29+D30</f>
        <v>0</v>
      </c>
      <c r="E28" s="63">
        <f>E29+E30</f>
        <v>3958.82</v>
      </c>
      <c r="F28" s="63">
        <f>F29+F30</f>
        <v>4186.85</v>
      </c>
      <c r="G28" s="86"/>
    </row>
    <row r="29" spans="1:7" ht="15" customHeight="1">
      <c r="A29" s="36" t="s">
        <v>298</v>
      </c>
      <c r="B29" s="12" t="s">
        <v>299</v>
      </c>
      <c r="C29" s="82">
        <f t="shared" si="0"/>
        <v>7696</v>
      </c>
      <c r="D29" s="85">
        <f>J29</f>
        <v>0</v>
      </c>
      <c r="E29" s="85">
        <v>3848</v>
      </c>
      <c r="F29" s="85">
        <v>3848</v>
      </c>
      <c r="G29" s="203" t="s">
        <v>90</v>
      </c>
    </row>
    <row r="30" spans="1:7" ht="15" customHeight="1">
      <c r="A30" s="36" t="s">
        <v>300</v>
      </c>
      <c r="B30" s="12" t="s">
        <v>301</v>
      </c>
      <c r="C30" s="82">
        <f t="shared" si="0"/>
        <v>449.67</v>
      </c>
      <c r="D30" s="60">
        <f>D29/2*$C10</f>
        <v>0</v>
      </c>
      <c r="E30" s="60">
        <f>SUM(D29,D30,E29/2)*$C10</f>
        <v>110.82</v>
      </c>
      <c r="F30" s="60">
        <f>SUM(D29,D30,E29,E30,F29/2)*$C10</f>
        <v>338.85</v>
      </c>
      <c r="G30" s="204"/>
    </row>
    <row r="31" spans="1:7" ht="15" customHeight="1">
      <c r="A31" s="81">
        <v>2.3</v>
      </c>
      <c r="B31" s="15" t="s">
        <v>302</v>
      </c>
      <c r="C31" s="82">
        <f t="shared" si="0"/>
        <v>0</v>
      </c>
      <c r="D31" s="87">
        <f>J31</f>
        <v>0</v>
      </c>
      <c r="E31" s="87">
        <f>K31</f>
        <v>0</v>
      </c>
      <c r="F31" s="85">
        <f>L31</f>
        <v>0</v>
      </c>
      <c r="G31" s="14" t="s">
        <v>305</v>
      </c>
    </row>
    <row r="32" spans="1:7" ht="15" customHeight="1">
      <c r="A32" s="88"/>
      <c r="B32" s="15" t="s">
        <v>303</v>
      </c>
      <c r="C32" s="63">
        <f>(C19+C20)*C7</f>
        <v>14879.67</v>
      </c>
      <c r="D32" s="60"/>
      <c r="E32" s="60"/>
      <c r="F32" s="60"/>
      <c r="G32" s="86"/>
    </row>
    <row r="33" spans="1:7" ht="15" customHeight="1">
      <c r="A33" s="89" t="s">
        <v>306</v>
      </c>
      <c r="B33" s="199" t="s">
        <v>307</v>
      </c>
      <c r="C33" s="199"/>
      <c r="D33" s="199"/>
      <c r="E33" s="199"/>
      <c r="F33" s="199"/>
      <c r="G33" s="199"/>
    </row>
    <row r="34" spans="1:7" ht="15" customHeight="1">
      <c r="A34" s="90"/>
      <c r="B34" s="199" t="s">
        <v>308</v>
      </c>
      <c r="C34" s="199"/>
      <c r="D34" s="199"/>
      <c r="E34" s="199"/>
      <c r="F34" s="199"/>
      <c r="G34" s="199"/>
    </row>
    <row r="35" spans="1:7" ht="15" customHeight="1">
      <c r="A35" s="90"/>
      <c r="B35" s="199" t="s">
        <v>309</v>
      </c>
      <c r="C35" s="199"/>
      <c r="D35" s="199"/>
      <c r="E35" s="199"/>
      <c r="F35" s="199"/>
      <c r="G35" s="199"/>
    </row>
    <row r="36" spans="1:7" ht="15" customHeight="1">
      <c r="A36" s="90"/>
      <c r="B36" s="17"/>
      <c r="C36" s="17"/>
      <c r="D36" s="17"/>
      <c r="E36" s="17"/>
      <c r="F36" s="91"/>
      <c r="G36" s="17"/>
    </row>
    <row r="37" spans="1:7" ht="19.5" customHeight="1">
      <c r="A37" s="173" t="s">
        <v>430</v>
      </c>
      <c r="B37" s="173"/>
      <c r="C37" s="173"/>
      <c r="D37" s="173"/>
      <c r="E37" s="173"/>
      <c r="F37" s="173"/>
      <c r="G37" s="173"/>
    </row>
    <row r="38" spans="1:7" ht="15" customHeight="1">
      <c r="A38" s="18" t="s">
        <v>431</v>
      </c>
      <c r="B38" s="174" t="s">
        <v>432</v>
      </c>
      <c r="C38" s="176"/>
      <c r="D38" s="172" t="s">
        <v>433</v>
      </c>
      <c r="E38" s="172"/>
      <c r="F38" s="174" t="s">
        <v>434</v>
      </c>
      <c r="G38" s="176"/>
    </row>
    <row r="39" spans="1:7" ht="15" customHeight="1">
      <c r="A39" s="186" t="s">
        <v>435</v>
      </c>
      <c r="B39" s="195" t="s">
        <v>436</v>
      </c>
      <c r="C39" s="196"/>
      <c r="D39" s="197">
        <v>0.02</v>
      </c>
      <c r="E39" s="198"/>
      <c r="F39" s="195" t="str">
        <f>"State and UN tax rates are both"&amp;D39*100&amp;"%."</f>
        <v>State and UN tax rates are both2%.</v>
      </c>
      <c r="G39" s="196"/>
    </row>
    <row r="40" spans="1:7" ht="15" customHeight="1">
      <c r="A40" s="187"/>
      <c r="B40" s="195" t="s">
        <v>437</v>
      </c>
      <c r="C40" s="196"/>
      <c r="D40" s="197">
        <v>0</v>
      </c>
      <c r="E40" s="198"/>
      <c r="F40" s="195"/>
      <c r="G40" s="196"/>
    </row>
    <row r="41" spans="1:7" ht="15" customHeight="1">
      <c r="A41" s="188"/>
      <c r="B41" s="195" t="s">
        <v>438</v>
      </c>
      <c r="C41" s="196"/>
      <c r="D41" s="197">
        <v>0</v>
      </c>
      <c r="E41" s="198"/>
      <c r="F41" s="208"/>
      <c r="G41" s="209"/>
    </row>
    <row r="42" spans="1:7" ht="15" customHeight="1">
      <c r="A42" s="18">
        <v>1</v>
      </c>
      <c r="B42" s="195" t="s">
        <v>439</v>
      </c>
      <c r="C42" s="196"/>
      <c r="D42" s="211">
        <v>58279</v>
      </c>
      <c r="E42" s="211"/>
      <c r="F42" s="210"/>
      <c r="G42" s="210"/>
    </row>
    <row r="43" spans="1:7" ht="15" customHeight="1">
      <c r="A43" s="18">
        <v>2</v>
      </c>
      <c r="B43" s="195" t="s">
        <v>440</v>
      </c>
      <c r="C43" s="196"/>
      <c r="D43" s="207">
        <v>80</v>
      </c>
      <c r="E43" s="207"/>
      <c r="F43" s="191"/>
      <c r="G43" s="191"/>
    </row>
    <row r="44" spans="1:7" ht="15" customHeight="1">
      <c r="A44" s="18">
        <v>3</v>
      </c>
      <c r="B44" s="195" t="s">
        <v>441</v>
      </c>
      <c r="C44" s="196"/>
      <c r="D44" s="222">
        <f>D42*D43/10000</f>
        <v>466.23</v>
      </c>
      <c r="E44" s="222"/>
      <c r="F44" s="191"/>
      <c r="G44" s="191"/>
    </row>
    <row r="45" spans="1:7" ht="15" customHeight="1">
      <c r="A45" s="18">
        <v>4</v>
      </c>
      <c r="B45" s="195" t="s">
        <v>442</v>
      </c>
      <c r="C45" s="196"/>
      <c r="D45" s="220">
        <f>D44*(1-2*D39)</f>
        <v>447.58</v>
      </c>
      <c r="E45" s="221"/>
      <c r="F45" s="208"/>
      <c r="G45" s="209"/>
    </row>
    <row r="46" spans="1:7" ht="15" customHeight="1">
      <c r="A46" s="18">
        <v>5</v>
      </c>
      <c r="B46" s="195" t="s">
        <v>443</v>
      </c>
      <c r="C46" s="196"/>
      <c r="D46" s="222">
        <f>D45*(1-D40)</f>
        <v>447.58</v>
      </c>
      <c r="E46" s="222"/>
      <c r="F46" s="208"/>
      <c r="G46" s="209"/>
    </row>
    <row r="47" spans="1:7" ht="15" customHeight="1">
      <c r="A47" s="18">
        <v>6</v>
      </c>
      <c r="B47" s="195" t="s">
        <v>444</v>
      </c>
      <c r="C47" s="196"/>
      <c r="D47" s="222">
        <f>D46*(1-D41)</f>
        <v>447.58</v>
      </c>
      <c r="E47" s="222"/>
      <c r="F47" s="208" t="str">
        <f>D48&amp;"years'income is "&amp;D47*D48&amp;" ten thousand yuan."</f>
        <v>21years'income is 9399.18 ten thousand yuan.</v>
      </c>
      <c r="G47" s="209"/>
    </row>
    <row r="48" spans="1:7" ht="15.75">
      <c r="A48" s="18">
        <v>7</v>
      </c>
      <c r="B48" s="195" t="s">
        <v>445</v>
      </c>
      <c r="C48" s="196"/>
      <c r="D48" s="207">
        <v>21</v>
      </c>
      <c r="E48" s="207"/>
      <c r="F48" s="191"/>
      <c r="G48" s="191"/>
    </row>
  </sheetData>
  <sheetProtection/>
  <mergeCells count="63">
    <mergeCell ref="B43:C43"/>
    <mergeCell ref="B44:C44"/>
    <mergeCell ref="A22:G22"/>
    <mergeCell ref="D11:G11"/>
    <mergeCell ref="D43:E43"/>
    <mergeCell ref="D44:E44"/>
    <mergeCell ref="B38:C38"/>
    <mergeCell ref="A15:G15"/>
    <mergeCell ref="A5:A12"/>
    <mergeCell ref="C16:C17"/>
    <mergeCell ref="B47:C47"/>
    <mergeCell ref="B45:C45"/>
    <mergeCell ref="D45:E45"/>
    <mergeCell ref="D46:E46"/>
    <mergeCell ref="D47:E47"/>
    <mergeCell ref="B46:C46"/>
    <mergeCell ref="D16:F16"/>
    <mergeCell ref="D5:G5"/>
    <mergeCell ref="D6:G6"/>
    <mergeCell ref="D7:G7"/>
    <mergeCell ref="D8:G8"/>
    <mergeCell ref="D9:G9"/>
    <mergeCell ref="D10:G10"/>
    <mergeCell ref="D42:E42"/>
    <mergeCell ref="B42:C42"/>
    <mergeCell ref="D3:G4"/>
    <mergeCell ref="A16:A17"/>
    <mergeCell ref="B33:G33"/>
    <mergeCell ref="B39:C39"/>
    <mergeCell ref="D39:E39"/>
    <mergeCell ref="A37:G37"/>
    <mergeCell ref="A3:A4"/>
    <mergeCell ref="B3:B4"/>
    <mergeCell ref="B48:C48"/>
    <mergeCell ref="D48:E48"/>
    <mergeCell ref="F48:G48"/>
    <mergeCell ref="F38:G38"/>
    <mergeCell ref="F47:G47"/>
    <mergeCell ref="F45:G45"/>
    <mergeCell ref="F46:G46"/>
    <mergeCell ref="F40:G40"/>
    <mergeCell ref="F41:G41"/>
    <mergeCell ref="F42:G42"/>
    <mergeCell ref="B1:G1"/>
    <mergeCell ref="B35:G35"/>
    <mergeCell ref="D12:G12"/>
    <mergeCell ref="F39:G39"/>
    <mergeCell ref="B16:B17"/>
    <mergeCell ref="G16:G17"/>
    <mergeCell ref="B34:G34"/>
    <mergeCell ref="G29:G30"/>
    <mergeCell ref="D38:E38"/>
    <mergeCell ref="C3:C4"/>
    <mergeCell ref="F43:G43"/>
    <mergeCell ref="F44:G44"/>
    <mergeCell ref="A13:A14"/>
    <mergeCell ref="D13:G13"/>
    <mergeCell ref="D14:G14"/>
    <mergeCell ref="A39:A41"/>
    <mergeCell ref="B40:C40"/>
    <mergeCell ref="B41:C41"/>
    <mergeCell ref="D40:E40"/>
    <mergeCell ref="D41:E41"/>
  </mergeCells>
  <printOptions horizontalCentered="1"/>
  <pageMargins left="0.3937007874015748" right="0.3937007874015748" top="1.1811023622047245" bottom="0.984251968503937" header="0.5118110236220472" footer="0.5118110236220472"/>
  <pageSetup blackAndWhite="1" horizontalDpi="300" verticalDpi="300" orientation="portrait" paperSize="9" r:id="rId1"/>
  <headerFooter alignWithMargins="0">
    <oddFooter xml:space="preserve">&amp;C&amp;P+3 </oddFooter>
  </headerFooter>
  <ignoredErrors>
    <ignoredError sqref="D30 D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F52"/>
  <sheetViews>
    <sheetView showGridLines="0" showZeros="0" zoomScale="90" zoomScaleNormal="90" zoomScalePageLayoutView="0" workbookViewId="0" topLeftCell="A10">
      <selection activeCell="H24" sqref="H24"/>
    </sheetView>
  </sheetViews>
  <sheetFormatPr defaultColWidth="9.00390625" defaultRowHeight="15.75" customHeight="1"/>
  <cols>
    <col min="1" max="1" width="5.75390625" style="33" customWidth="1"/>
    <col min="2" max="2" width="36.00390625" style="32" customWidth="1"/>
    <col min="3" max="3" width="17.375" style="33" customWidth="1"/>
    <col min="4" max="4" width="16.25390625" style="33" customWidth="1"/>
    <col min="5" max="5" width="8.75390625" style="33" customWidth="1"/>
    <col min="6" max="6" width="41.75390625" style="33" customWidth="1"/>
    <col min="7" max="16384" width="9.00390625" style="33" customWidth="1"/>
  </cols>
  <sheetData>
    <row r="1" spans="1:6" ht="15.75" customHeight="1">
      <c r="A1" s="230"/>
      <c r="B1" s="230"/>
      <c r="C1" s="230"/>
      <c r="D1" s="230"/>
      <c r="E1" s="230"/>
      <c r="F1" s="230"/>
    </row>
    <row r="2" spans="1:6" ht="19.5" customHeight="1">
      <c r="A2" s="92" t="s">
        <v>310</v>
      </c>
      <c r="B2" s="232" t="str">
        <f>Instruction!A16&amp;"-Operation Cost"</f>
        <v>Jinshizi Hydropower Station Finance Analysis-Operation Cost</v>
      </c>
      <c r="C2" s="232"/>
      <c r="D2" s="232"/>
      <c r="E2" s="232"/>
      <c r="F2" s="232"/>
    </row>
    <row r="3" spans="1:6" ht="7.5" customHeight="1">
      <c r="A3" s="233"/>
      <c r="B3" s="233"/>
      <c r="C3" s="233"/>
      <c r="D3" s="233"/>
      <c r="E3" s="233"/>
      <c r="F3" s="233"/>
    </row>
    <row r="4" spans="1:6" ht="15" customHeight="1">
      <c r="A4" s="20" t="s">
        <v>266</v>
      </c>
      <c r="B4" s="21" t="s">
        <v>267</v>
      </c>
      <c r="C4" s="20" t="s">
        <v>324</v>
      </c>
      <c r="D4" s="25" t="s">
        <v>330</v>
      </c>
      <c r="E4" s="25" t="s">
        <v>331</v>
      </c>
      <c r="F4" s="25" t="s">
        <v>285</v>
      </c>
    </row>
    <row r="5" spans="1:6" ht="15" customHeight="1">
      <c r="A5" s="22" t="s">
        <v>311</v>
      </c>
      <c r="B5" s="23" t="s">
        <v>268</v>
      </c>
      <c r="C5" s="31"/>
      <c r="D5" s="31"/>
      <c r="E5" s="31"/>
      <c r="F5" s="31"/>
    </row>
    <row r="6" spans="1:6" ht="15" customHeight="1">
      <c r="A6" s="234">
        <v>1</v>
      </c>
      <c r="B6" s="13" t="s">
        <v>312</v>
      </c>
      <c r="C6" s="25" t="s">
        <v>324</v>
      </c>
      <c r="D6" s="93">
        <v>2</v>
      </c>
      <c r="E6" s="25"/>
      <c r="F6" s="25"/>
    </row>
    <row r="7" spans="1:6" ht="15" customHeight="1">
      <c r="A7" s="235"/>
      <c r="B7" s="13" t="s">
        <v>313</v>
      </c>
      <c r="C7" s="20" t="s">
        <v>325</v>
      </c>
      <c r="D7" s="93">
        <v>10000</v>
      </c>
      <c r="E7" s="25"/>
      <c r="F7" s="25"/>
    </row>
    <row r="8" spans="1:6" ht="15" customHeight="1">
      <c r="A8" s="236"/>
      <c r="B8" s="13" t="s">
        <v>314</v>
      </c>
      <c r="C8" s="20" t="s">
        <v>325</v>
      </c>
      <c r="D8" s="25">
        <f>D6*D7</f>
        <v>20000</v>
      </c>
      <c r="E8" s="20"/>
      <c r="F8" s="20"/>
    </row>
    <row r="9" spans="1:6" ht="15" customHeight="1">
      <c r="A9" s="20">
        <v>2</v>
      </c>
      <c r="B9" s="13" t="s">
        <v>315</v>
      </c>
      <c r="C9" s="20" t="s">
        <v>326</v>
      </c>
      <c r="D9" s="94">
        <f>'Investment Plan'!C32</f>
        <v>14879.67</v>
      </c>
      <c r="E9" s="20"/>
      <c r="F9" s="24" t="s">
        <v>332</v>
      </c>
    </row>
    <row r="10" spans="1:6" ht="15" customHeight="1">
      <c r="A10" s="20">
        <v>3</v>
      </c>
      <c r="B10" s="13" t="s">
        <v>316</v>
      </c>
      <c r="C10" s="20" t="s">
        <v>327</v>
      </c>
      <c r="D10" s="95">
        <f>D9/D8*10000</f>
        <v>7439.84</v>
      </c>
      <c r="E10" s="20"/>
      <c r="F10" s="96"/>
    </row>
    <row r="11" spans="1:6" ht="15" customHeight="1">
      <c r="A11" s="20">
        <v>4</v>
      </c>
      <c r="B11" s="13" t="s">
        <v>317</v>
      </c>
      <c r="C11" s="20" t="s">
        <v>328</v>
      </c>
      <c r="D11" s="97">
        <v>4255</v>
      </c>
      <c r="E11" s="20"/>
      <c r="F11" s="96"/>
    </row>
    <row r="12" spans="1:6" ht="15" customHeight="1">
      <c r="A12" s="20">
        <v>5</v>
      </c>
      <c r="B12" s="24" t="s">
        <v>318</v>
      </c>
      <c r="C12" s="20" t="s">
        <v>329</v>
      </c>
      <c r="D12" s="98">
        <f>D8*D11/10000</f>
        <v>8510</v>
      </c>
      <c r="E12" s="20"/>
      <c r="F12" s="24"/>
    </row>
    <row r="13" spans="1:6" ht="15" customHeight="1">
      <c r="A13" s="20"/>
      <c r="B13" s="13" t="s">
        <v>188</v>
      </c>
      <c r="C13" s="20" t="s">
        <v>255</v>
      </c>
      <c r="D13" s="99">
        <v>0.9</v>
      </c>
      <c r="E13" s="20"/>
      <c r="F13" s="24"/>
    </row>
    <row r="14" spans="1:6" ht="15" customHeight="1">
      <c r="A14" s="20">
        <v>6</v>
      </c>
      <c r="B14" s="13" t="s">
        <v>319</v>
      </c>
      <c r="C14" s="20" t="s">
        <v>329</v>
      </c>
      <c r="D14" s="100">
        <f>D12*D13</f>
        <v>7659</v>
      </c>
      <c r="E14" s="101"/>
      <c r="F14" s="20"/>
    </row>
    <row r="15" spans="1:6" ht="15" customHeight="1">
      <c r="A15" s="20"/>
      <c r="B15" s="13" t="s">
        <v>320</v>
      </c>
      <c r="C15" s="20" t="s">
        <v>255</v>
      </c>
      <c r="D15" s="102">
        <v>0.001</v>
      </c>
      <c r="E15" s="101"/>
      <c r="F15" s="20"/>
    </row>
    <row r="16" spans="1:6" ht="15" customHeight="1">
      <c r="A16" s="20">
        <v>7</v>
      </c>
      <c r="B16" s="13" t="s">
        <v>321</v>
      </c>
      <c r="C16" s="20" t="s">
        <v>329</v>
      </c>
      <c r="D16" s="103">
        <f>D14*(1-D15)</f>
        <v>7651.3</v>
      </c>
      <c r="E16" s="101"/>
      <c r="F16" s="20"/>
    </row>
    <row r="17" spans="1:6" ht="15" customHeight="1">
      <c r="A17" s="20"/>
      <c r="B17" s="13" t="s">
        <v>322</v>
      </c>
      <c r="C17" s="20" t="s">
        <v>255</v>
      </c>
      <c r="D17" s="102">
        <v>0</v>
      </c>
      <c r="E17" s="101"/>
      <c r="F17" s="20"/>
    </row>
    <row r="18" spans="1:6" ht="15" customHeight="1">
      <c r="A18" s="20">
        <v>8</v>
      </c>
      <c r="B18" s="13" t="s">
        <v>323</v>
      </c>
      <c r="C18" s="20" t="s">
        <v>329</v>
      </c>
      <c r="D18" s="103">
        <f>D16*(1-D17)</f>
        <v>7651.3</v>
      </c>
      <c r="E18" s="101"/>
      <c r="F18" s="24"/>
    </row>
    <row r="19" spans="1:6" ht="7.5" customHeight="1">
      <c r="A19" s="231"/>
      <c r="B19" s="231"/>
      <c r="C19" s="231"/>
      <c r="D19" s="231"/>
      <c r="E19" s="231"/>
      <c r="F19" s="231"/>
    </row>
    <row r="20" spans="1:6" ht="15" customHeight="1">
      <c r="A20" s="22" t="s">
        <v>333</v>
      </c>
      <c r="B20" s="26" t="s">
        <v>334</v>
      </c>
      <c r="C20" s="31"/>
      <c r="D20" s="104">
        <f>SUM(D21,D24,D29)</f>
        <v>236</v>
      </c>
      <c r="E20" s="105"/>
      <c r="F20" s="105"/>
    </row>
    <row r="21" spans="1:6" ht="15" customHeight="1">
      <c r="A21" s="20">
        <v>1</v>
      </c>
      <c r="B21" s="13" t="s">
        <v>335</v>
      </c>
      <c r="C21" s="20" t="s">
        <v>326</v>
      </c>
      <c r="D21" s="94">
        <f>D22*D23/10000</f>
        <v>20</v>
      </c>
      <c r="E21" s="106"/>
      <c r="F21" s="96"/>
    </row>
    <row r="22" spans="1:6" ht="15" customHeight="1">
      <c r="A22" s="20"/>
      <c r="B22" s="13" t="s">
        <v>336</v>
      </c>
      <c r="C22" s="20" t="s">
        <v>347</v>
      </c>
      <c r="D22" s="107">
        <v>20</v>
      </c>
      <c r="E22" s="108"/>
      <c r="F22" s="106"/>
    </row>
    <row r="23" spans="1:6" ht="15" customHeight="1">
      <c r="A23" s="20"/>
      <c r="B23" s="13" t="s">
        <v>337</v>
      </c>
      <c r="C23" s="20" t="s">
        <v>348</v>
      </c>
      <c r="D23" s="109">
        <v>10000</v>
      </c>
      <c r="E23" s="96"/>
      <c r="F23" s="96"/>
    </row>
    <row r="24" spans="1:6" ht="15" customHeight="1">
      <c r="A24" s="20">
        <v>2</v>
      </c>
      <c r="B24" s="13" t="s">
        <v>338</v>
      </c>
      <c r="C24" s="20" t="s">
        <v>326</v>
      </c>
      <c r="D24" s="110">
        <f>SUM(D25:D28)</f>
        <v>8</v>
      </c>
      <c r="E24" s="111">
        <f>SUM(E25:E28)</f>
        <v>0.4</v>
      </c>
      <c r="F24" s="227" t="s">
        <v>91</v>
      </c>
    </row>
    <row r="25" spans="1:6" ht="15" customHeight="1">
      <c r="A25" s="20"/>
      <c r="B25" s="13" t="s">
        <v>339</v>
      </c>
      <c r="C25" s="20" t="s">
        <v>326</v>
      </c>
      <c r="D25" s="94">
        <f>D21*E25</f>
        <v>5.2</v>
      </c>
      <c r="E25" s="111">
        <v>0.26</v>
      </c>
      <c r="F25" s="228"/>
    </row>
    <row r="26" spans="1:6" ht="15" customHeight="1">
      <c r="A26" s="20"/>
      <c r="B26" s="13" t="s">
        <v>340</v>
      </c>
      <c r="C26" s="20" t="s">
        <v>326</v>
      </c>
      <c r="D26" s="94">
        <f>D21*E26</f>
        <v>2.8</v>
      </c>
      <c r="E26" s="111">
        <v>0.14</v>
      </c>
      <c r="F26" s="228"/>
    </row>
    <row r="27" spans="1:6" ht="15" customHeight="1">
      <c r="A27" s="20"/>
      <c r="B27" s="13" t="s">
        <v>341</v>
      </c>
      <c r="C27" s="20" t="s">
        <v>326</v>
      </c>
      <c r="D27" s="94">
        <f>D21*E27</f>
        <v>0</v>
      </c>
      <c r="E27" s="111">
        <v>0</v>
      </c>
      <c r="F27" s="228"/>
    </row>
    <row r="28" spans="1:6" ht="15" customHeight="1">
      <c r="A28" s="20"/>
      <c r="B28" s="13" t="s">
        <v>342</v>
      </c>
      <c r="C28" s="20" t="s">
        <v>326</v>
      </c>
      <c r="D28" s="94">
        <f>D21*E28</f>
        <v>0</v>
      </c>
      <c r="E28" s="111">
        <v>0</v>
      </c>
      <c r="F28" s="229"/>
    </row>
    <row r="29" spans="1:6" ht="15" customHeight="1">
      <c r="A29" s="20">
        <v>3</v>
      </c>
      <c r="B29" s="13" t="s">
        <v>343</v>
      </c>
      <c r="C29" s="20" t="s">
        <v>326</v>
      </c>
      <c r="D29" s="94">
        <f>SUM(D30:D32)</f>
        <v>208</v>
      </c>
      <c r="E29" s="112"/>
      <c r="F29" s="96"/>
    </row>
    <row r="30" spans="1:6" ht="15" customHeight="1">
      <c r="A30" s="20"/>
      <c r="B30" s="13" t="s">
        <v>344</v>
      </c>
      <c r="C30" s="20" t="s">
        <v>326</v>
      </c>
      <c r="D30" s="94">
        <f>D9*E30*(150/148.8)</f>
        <v>150</v>
      </c>
      <c r="E30" s="111">
        <v>0.01</v>
      </c>
      <c r="F30" s="27" t="s">
        <v>92</v>
      </c>
    </row>
    <row r="31" spans="1:6" ht="15" customHeight="1">
      <c r="A31" s="20"/>
      <c r="B31" s="13" t="s">
        <v>345</v>
      </c>
      <c r="C31" s="20" t="s">
        <v>326</v>
      </c>
      <c r="D31" s="94">
        <f>D8*E31/10000</f>
        <v>10</v>
      </c>
      <c r="E31" s="113">
        <v>5</v>
      </c>
      <c r="F31" s="106" t="str">
        <f>IF(E31&lt;=0,0,E31&amp;" yuan per kW.")</f>
        <v>5 yuan per kW.</v>
      </c>
    </row>
    <row r="32" spans="1:6" ht="15" customHeight="1">
      <c r="A32" s="20"/>
      <c r="B32" s="13" t="s">
        <v>346</v>
      </c>
      <c r="C32" s="20" t="s">
        <v>326</v>
      </c>
      <c r="D32" s="94">
        <f>D8*E32/10000</f>
        <v>48</v>
      </c>
      <c r="E32" s="113">
        <v>24</v>
      </c>
      <c r="F32" s="106" t="str">
        <f>E32&amp;" yuan per kW."</f>
        <v>24 yuan per kW.</v>
      </c>
    </row>
    <row r="33" spans="1:6" ht="7.5" customHeight="1">
      <c r="A33" s="239"/>
      <c r="B33" s="239"/>
      <c r="C33" s="239"/>
      <c r="D33" s="239"/>
      <c r="E33" s="239"/>
      <c r="F33" s="239"/>
    </row>
    <row r="34" spans="1:6" s="116" customFormat="1" ht="15" customHeight="1">
      <c r="A34" s="22" t="s">
        <v>349</v>
      </c>
      <c r="B34" s="26" t="s">
        <v>350</v>
      </c>
      <c r="C34" s="28" t="s">
        <v>351</v>
      </c>
      <c r="D34" s="114">
        <f>IF(D18=0,0,D20/D18)</f>
        <v>0.0308</v>
      </c>
      <c r="E34" s="115"/>
      <c r="F34" s="29" t="s">
        <v>352</v>
      </c>
    </row>
    <row r="35" spans="1:6" s="116" customFormat="1" ht="15" customHeight="1">
      <c r="A35" s="25"/>
      <c r="B35" s="117"/>
      <c r="C35" s="118"/>
      <c r="D35" s="119"/>
      <c r="E35" s="120"/>
      <c r="F35" s="121"/>
    </row>
    <row r="36" spans="1:6" s="116" customFormat="1" ht="15" customHeight="1">
      <c r="A36" s="3" t="s">
        <v>353</v>
      </c>
      <c r="B36" s="30" t="s">
        <v>354</v>
      </c>
      <c r="C36" s="31" t="s">
        <v>326</v>
      </c>
      <c r="D36" s="104">
        <f>'Investment Plan'!C27*E36</f>
        <v>0</v>
      </c>
      <c r="E36" s="122">
        <f>'Investment Plan'!C14</f>
        <v>0</v>
      </c>
      <c r="F36" s="30" t="s">
        <v>93</v>
      </c>
    </row>
    <row r="37" spans="1:6" ht="15" customHeight="1">
      <c r="A37" s="116"/>
      <c r="B37" s="123"/>
      <c r="C37" s="116"/>
      <c r="D37" s="116"/>
      <c r="E37" s="116"/>
      <c r="F37" s="116"/>
    </row>
    <row r="38" spans="1:6" ht="15" customHeight="1">
      <c r="A38" s="33" t="s">
        <v>306</v>
      </c>
      <c r="B38" s="238" t="s">
        <v>94</v>
      </c>
      <c r="C38" s="238"/>
      <c r="D38" s="238"/>
      <c r="E38" s="238"/>
      <c r="F38" s="238"/>
    </row>
    <row r="39" spans="2:5" ht="15" customHeight="1">
      <c r="B39" s="32" t="s">
        <v>355</v>
      </c>
      <c r="C39" s="32" t="s">
        <v>360</v>
      </c>
      <c r="E39" s="32" t="s">
        <v>360</v>
      </c>
    </row>
    <row r="40" spans="2:5" ht="15" customHeight="1">
      <c r="B40" s="32" t="s">
        <v>356</v>
      </c>
      <c r="C40" s="32" t="s">
        <v>361</v>
      </c>
      <c r="E40" s="32" t="s">
        <v>361</v>
      </c>
    </row>
    <row r="41" spans="2:5" ht="15" customHeight="1">
      <c r="B41" s="32" t="s">
        <v>357</v>
      </c>
      <c r="C41" s="32" t="s">
        <v>362</v>
      </c>
      <c r="E41" s="32" t="s">
        <v>362</v>
      </c>
    </row>
    <row r="42" spans="2:5" ht="15" customHeight="1">
      <c r="B42" s="32" t="s">
        <v>358</v>
      </c>
      <c r="C42" s="32" t="s">
        <v>363</v>
      </c>
      <c r="E42" s="32" t="s">
        <v>363</v>
      </c>
    </row>
    <row r="43" spans="2:5" ht="15" customHeight="1">
      <c r="B43" s="32" t="s">
        <v>359</v>
      </c>
      <c r="C43" s="32" t="s">
        <v>364</v>
      </c>
      <c r="E43" s="32" t="s">
        <v>364</v>
      </c>
    </row>
    <row r="44" spans="1:6" ht="7.5" customHeight="1">
      <c r="A44" s="230"/>
      <c r="B44" s="230"/>
      <c r="C44" s="230"/>
      <c r="D44" s="230"/>
      <c r="E44" s="230"/>
      <c r="F44" s="230"/>
    </row>
    <row r="45" spans="2:6" ht="15" customHeight="1">
      <c r="B45" s="237" t="s">
        <v>365</v>
      </c>
      <c r="C45" s="238"/>
      <c r="D45" s="238"/>
      <c r="E45" s="238"/>
      <c r="F45" s="238"/>
    </row>
    <row r="46" spans="2:6" ht="15" customHeight="1">
      <c r="B46" s="237" t="s">
        <v>366</v>
      </c>
      <c r="C46" s="238"/>
      <c r="D46" s="238"/>
      <c r="E46" s="238"/>
      <c r="F46" s="238"/>
    </row>
    <row r="47" spans="2:6" ht="15" customHeight="1">
      <c r="B47" s="237" t="s">
        <v>367</v>
      </c>
      <c r="C47" s="238"/>
      <c r="D47" s="238"/>
      <c r="E47" s="238"/>
      <c r="F47" s="238"/>
    </row>
    <row r="48" ht="15.75" customHeight="1">
      <c r="B48" s="124"/>
    </row>
    <row r="49" ht="15.75" customHeight="1">
      <c r="B49" s="124"/>
    </row>
    <row r="50" ht="15.75" customHeight="1">
      <c r="B50" s="124"/>
    </row>
    <row r="51" ht="15.75" customHeight="1">
      <c r="B51" s="124"/>
    </row>
    <row r="52" ht="15.75" customHeight="1">
      <c r="B52" s="124"/>
    </row>
  </sheetData>
  <sheetProtection/>
  <mergeCells count="12">
    <mergeCell ref="B47:F47"/>
    <mergeCell ref="A44:F44"/>
    <mergeCell ref="B45:F45"/>
    <mergeCell ref="B46:F46"/>
    <mergeCell ref="B38:F38"/>
    <mergeCell ref="A33:F33"/>
    <mergeCell ref="F24:F28"/>
    <mergeCell ref="A1:F1"/>
    <mergeCell ref="A19:F19"/>
    <mergeCell ref="B2:F2"/>
    <mergeCell ref="A3:F3"/>
    <mergeCell ref="A6:A8"/>
  </mergeCells>
  <printOptions horizontalCentered="1"/>
  <pageMargins left="0.7874015748031497" right="0.5905511811023623" top="1.1811023622047245" bottom="0.984251968503937" header="0.5118110236220472" footer="0.7086614173228347"/>
  <pageSetup blackAndWhite="1" horizontalDpi="600" verticalDpi="600" orientation="portrait" paperSize="9" r:id="rId1"/>
  <headerFooter alignWithMargins="0">
    <oddFooter xml:space="preserve">&amp;C&amp;P+4 </oddFooter>
  </headerFooter>
  <ignoredErrors>
    <ignoredError sqref="E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2:AH43"/>
  <sheetViews>
    <sheetView showGridLines="0" showZeros="0" zoomScale="90" zoomScaleNormal="90" zoomScalePageLayoutView="0" workbookViewId="0" topLeftCell="B13">
      <selection activeCell="D22" sqref="D22"/>
    </sheetView>
  </sheetViews>
  <sheetFormatPr defaultColWidth="9.00390625" defaultRowHeight="12.75" customHeight="1"/>
  <cols>
    <col min="1" max="1" width="5.75390625" style="51" customWidth="1"/>
    <col min="2" max="2" width="48.00390625" style="51" customWidth="1"/>
    <col min="3" max="3" width="8.75390625" style="51" customWidth="1"/>
    <col min="4" max="4" width="10.75390625" style="51" customWidth="1"/>
    <col min="5" max="12" width="9.25390625" style="51" customWidth="1"/>
    <col min="13" max="34" width="8.625" style="51" customWidth="1"/>
    <col min="35" max="16384" width="9.00390625" style="51" customWidth="1"/>
  </cols>
  <sheetData>
    <row r="2" spans="1:31" ht="19.5" customHeight="1">
      <c r="A2" s="181" t="s">
        <v>95</v>
      </c>
      <c r="B2" s="181"/>
      <c r="C2" s="50" t="str">
        <f>Instruction!A16&amp;"-Cost and Income"</f>
        <v>Jinshizi Hydropower Station Finance Analysis-Cost and Income</v>
      </c>
      <c r="D2" s="50"/>
      <c r="E2" s="50"/>
      <c r="F2" s="50"/>
      <c r="G2" s="50"/>
      <c r="H2" s="50"/>
      <c r="I2" s="50"/>
      <c r="J2" s="50"/>
      <c r="K2" s="50"/>
      <c r="L2" s="50"/>
      <c r="M2" s="50" t="str">
        <f>C2</f>
        <v>Jinshizi Hydropower Station Finance Analysis-Cost and Income</v>
      </c>
      <c r="N2" s="50"/>
      <c r="O2" s="50"/>
      <c r="P2" s="50"/>
      <c r="Q2" s="50"/>
      <c r="R2" s="50"/>
      <c r="S2" s="50"/>
      <c r="T2" s="50"/>
      <c r="X2" s="50" t="str">
        <f>M2</f>
        <v>Jinshizi Hydropower Station Finance Analysis-Cost and Income</v>
      </c>
      <c r="Y2" s="50"/>
      <c r="Z2" s="50"/>
      <c r="AA2" s="50"/>
      <c r="AB2" s="50"/>
      <c r="AC2" s="50"/>
      <c r="AD2" s="50"/>
      <c r="AE2" s="50"/>
    </row>
    <row r="4" spans="1:34" ht="12.75" customHeight="1">
      <c r="A4" s="172" t="s">
        <v>41</v>
      </c>
      <c r="B4" s="172" t="s">
        <v>42</v>
      </c>
      <c r="C4" s="189" t="s">
        <v>96</v>
      </c>
      <c r="D4" s="172" t="s">
        <v>97</v>
      </c>
      <c r="E4" s="172" t="s">
        <v>45</v>
      </c>
      <c r="F4" s="172"/>
      <c r="G4" s="172"/>
      <c r="H4" s="172"/>
      <c r="I4" s="172"/>
      <c r="J4" s="172"/>
      <c r="K4" s="172"/>
      <c r="L4" s="172"/>
      <c r="M4" s="172" t="str">
        <f>E4</f>
        <v>Operation Period (year)</v>
      </c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 t="str">
        <f>E4</f>
        <v>Operation Period (year)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12.75" customHeight="1">
      <c r="A5" s="172"/>
      <c r="B5" s="172"/>
      <c r="C5" s="190"/>
      <c r="D5" s="172"/>
      <c r="E5" s="18">
        <f>'Cash Flow'!G5</f>
        <v>1</v>
      </c>
      <c r="F5" s="18">
        <f>'Cash Flow'!H5</f>
        <v>2</v>
      </c>
      <c r="G5" s="18">
        <f>'Cash Flow'!I5</f>
        <v>3</v>
      </c>
      <c r="H5" s="18">
        <f>'Cash Flow'!J5</f>
        <v>4</v>
      </c>
      <c r="I5" s="18">
        <f>'Cash Flow'!K5</f>
        <v>5</v>
      </c>
      <c r="J5" s="18">
        <f>'Cash Flow'!L5</f>
        <v>6</v>
      </c>
      <c r="K5" s="18">
        <f>'Cash Flow'!M5</f>
        <v>7</v>
      </c>
      <c r="L5" s="18">
        <f>'Cash Flow'!N5</f>
        <v>8</v>
      </c>
      <c r="M5" s="18">
        <f>'Cash Flow'!O5</f>
        <v>9</v>
      </c>
      <c r="N5" s="18">
        <f>'Cash Flow'!P5</f>
        <v>10</v>
      </c>
      <c r="O5" s="18">
        <f>'Cash Flow'!Q5</f>
        <v>11</v>
      </c>
      <c r="P5" s="18">
        <f>'Cash Flow'!R5</f>
        <v>12</v>
      </c>
      <c r="Q5" s="18">
        <f>'Cash Flow'!S5</f>
        <v>13</v>
      </c>
      <c r="R5" s="18">
        <f>'Cash Flow'!T5</f>
        <v>14</v>
      </c>
      <c r="S5" s="18">
        <f>'Cash Flow'!U5</f>
        <v>15</v>
      </c>
      <c r="T5" s="18">
        <f>'Cash Flow'!V5</f>
        <v>16</v>
      </c>
      <c r="U5" s="18">
        <f>'Cash Flow'!W5</f>
        <v>17</v>
      </c>
      <c r="V5" s="18">
        <f>'Cash Flow'!X5</f>
        <v>18</v>
      </c>
      <c r="W5" s="18">
        <f>'Cash Flow'!Y5</f>
        <v>19</v>
      </c>
      <c r="X5" s="18">
        <f>'Cash Flow'!Z5</f>
        <v>20</v>
      </c>
      <c r="Y5" s="18">
        <f>'Cash Flow'!AA5</f>
        <v>21</v>
      </c>
      <c r="Z5" s="18">
        <f>'Cash Flow'!AB5</f>
        <v>22</v>
      </c>
      <c r="AA5" s="18">
        <f>'Cash Flow'!AC5</f>
        <v>23</v>
      </c>
      <c r="AB5" s="18">
        <f>'Cash Flow'!AD5</f>
        <v>24</v>
      </c>
      <c r="AC5" s="18">
        <f>'Cash Flow'!AE5</f>
        <v>25</v>
      </c>
      <c r="AD5" s="18">
        <f>'Cash Flow'!AF5</f>
        <v>26</v>
      </c>
      <c r="AE5" s="18">
        <f>'Cash Flow'!AG5</f>
        <v>27</v>
      </c>
      <c r="AF5" s="18">
        <f>'Cash Flow'!AH5</f>
        <v>28</v>
      </c>
      <c r="AG5" s="18">
        <f>'Cash Flow'!AI5</f>
        <v>29</v>
      </c>
      <c r="AH5" s="18">
        <f>'Cash Flow'!AJ5</f>
        <v>30</v>
      </c>
    </row>
    <row r="6" spans="1:34" ht="12.75" customHeight="1">
      <c r="A6" s="36"/>
      <c r="B6" s="10" t="s">
        <v>98</v>
      </c>
      <c r="C6" s="36"/>
      <c r="D6" s="18"/>
      <c r="E6" s="18">
        <f>'Cash Flow'!G6</f>
        <v>20000</v>
      </c>
      <c r="F6" s="18">
        <f>'Cash Flow'!H6</f>
        <v>20000</v>
      </c>
      <c r="G6" s="18">
        <f>'Cash Flow'!I6</f>
        <v>20000</v>
      </c>
      <c r="H6" s="18">
        <f>'Cash Flow'!J6</f>
        <v>20000</v>
      </c>
      <c r="I6" s="18">
        <f>'Cash Flow'!K6</f>
        <v>20000</v>
      </c>
      <c r="J6" s="18">
        <f>'Cash Flow'!L6</f>
        <v>20000</v>
      </c>
      <c r="K6" s="18">
        <f>'Cash Flow'!M6</f>
        <v>20000</v>
      </c>
      <c r="L6" s="18">
        <f>'Cash Flow'!N6</f>
        <v>20000</v>
      </c>
      <c r="M6" s="18">
        <f>'Cash Flow'!O6</f>
        <v>20000</v>
      </c>
      <c r="N6" s="18">
        <f>'Cash Flow'!P6</f>
        <v>20000</v>
      </c>
      <c r="O6" s="18">
        <f>'Cash Flow'!Q6</f>
        <v>20000</v>
      </c>
      <c r="P6" s="18">
        <f>'Cash Flow'!R6</f>
        <v>20000</v>
      </c>
      <c r="Q6" s="18">
        <f>'Cash Flow'!S6</f>
        <v>20000</v>
      </c>
      <c r="R6" s="18">
        <f>'Cash Flow'!T6</f>
        <v>20000</v>
      </c>
      <c r="S6" s="18">
        <f>'Cash Flow'!U6</f>
        <v>20000</v>
      </c>
      <c r="T6" s="18">
        <f>'Cash Flow'!V6</f>
        <v>20000</v>
      </c>
      <c r="U6" s="18">
        <f>'Cash Flow'!W6</f>
        <v>20000</v>
      </c>
      <c r="V6" s="18">
        <f>'Cash Flow'!X6</f>
        <v>20000</v>
      </c>
      <c r="W6" s="18">
        <f>'Cash Flow'!Y6</f>
        <v>20000</v>
      </c>
      <c r="X6" s="18">
        <f>'Cash Flow'!Z6</f>
        <v>20000</v>
      </c>
      <c r="Y6" s="18">
        <f>'Cash Flow'!AA6</f>
        <v>20000</v>
      </c>
      <c r="Z6" s="18">
        <f>'Cash Flow'!AB6</f>
        <v>20000</v>
      </c>
      <c r="AA6" s="18">
        <f>'Cash Flow'!AC6</f>
        <v>20000</v>
      </c>
      <c r="AB6" s="18">
        <f>'Cash Flow'!AD6</f>
        <v>20000</v>
      </c>
      <c r="AC6" s="18">
        <f>'Cash Flow'!AE6</f>
        <v>20000</v>
      </c>
      <c r="AD6" s="18">
        <f>'Cash Flow'!AF6</f>
        <v>20000</v>
      </c>
      <c r="AE6" s="18">
        <f>'Cash Flow'!AG6</f>
        <v>20000</v>
      </c>
      <c r="AF6" s="18">
        <f>'Cash Flow'!AH6</f>
        <v>20000</v>
      </c>
      <c r="AG6" s="18">
        <f>'Cash Flow'!AI6</f>
        <v>20000</v>
      </c>
      <c r="AH6" s="18">
        <f>'Cash Flow'!AJ6</f>
        <v>20000</v>
      </c>
    </row>
    <row r="7" spans="1:34" ht="12.75" customHeight="1">
      <c r="A7" s="36">
        <v>1</v>
      </c>
      <c r="B7" s="10" t="s">
        <v>99</v>
      </c>
      <c r="C7" s="36"/>
      <c r="D7" s="60">
        <f aca="true" t="shared" si="0" ref="D7:D14">SUM(E7:AH7)</f>
        <v>50131.2</v>
      </c>
      <c r="E7" s="60">
        <f>IF(E5&lt;&gt;0,'Cash Flow'!G12,0)</f>
        <v>1671.04</v>
      </c>
      <c r="F7" s="60">
        <f>IF(F5&lt;&gt;0,E7,0)</f>
        <v>1671.04</v>
      </c>
      <c r="G7" s="60">
        <f aca="true" t="shared" si="1" ref="G7:AH7">IF(G5&lt;&gt;0,F7,0)</f>
        <v>1671.04</v>
      </c>
      <c r="H7" s="60">
        <f t="shared" si="1"/>
        <v>1671.04</v>
      </c>
      <c r="I7" s="60">
        <f t="shared" si="1"/>
        <v>1671.04</v>
      </c>
      <c r="J7" s="60">
        <f t="shared" si="1"/>
        <v>1671.04</v>
      </c>
      <c r="K7" s="60">
        <f t="shared" si="1"/>
        <v>1671.04</v>
      </c>
      <c r="L7" s="60">
        <f t="shared" si="1"/>
        <v>1671.04</v>
      </c>
      <c r="M7" s="60">
        <f t="shared" si="1"/>
        <v>1671.04</v>
      </c>
      <c r="N7" s="60">
        <f t="shared" si="1"/>
        <v>1671.04</v>
      </c>
      <c r="O7" s="60">
        <f t="shared" si="1"/>
        <v>1671.04</v>
      </c>
      <c r="P7" s="60">
        <f t="shared" si="1"/>
        <v>1671.04</v>
      </c>
      <c r="Q7" s="60">
        <f t="shared" si="1"/>
        <v>1671.04</v>
      </c>
      <c r="R7" s="60">
        <f t="shared" si="1"/>
        <v>1671.04</v>
      </c>
      <c r="S7" s="60">
        <f t="shared" si="1"/>
        <v>1671.04</v>
      </c>
      <c r="T7" s="60">
        <f t="shared" si="1"/>
        <v>1671.04</v>
      </c>
      <c r="U7" s="60">
        <f t="shared" si="1"/>
        <v>1671.04</v>
      </c>
      <c r="V7" s="60">
        <f t="shared" si="1"/>
        <v>1671.04</v>
      </c>
      <c r="W7" s="60">
        <f t="shared" si="1"/>
        <v>1671.04</v>
      </c>
      <c r="X7" s="60">
        <f t="shared" si="1"/>
        <v>1671.04</v>
      </c>
      <c r="Y7" s="60">
        <f t="shared" si="1"/>
        <v>1671.04</v>
      </c>
      <c r="Z7" s="60">
        <f t="shared" si="1"/>
        <v>1671.04</v>
      </c>
      <c r="AA7" s="60">
        <f t="shared" si="1"/>
        <v>1671.04</v>
      </c>
      <c r="AB7" s="60">
        <f t="shared" si="1"/>
        <v>1671.04</v>
      </c>
      <c r="AC7" s="60">
        <f t="shared" si="1"/>
        <v>1671.04</v>
      </c>
      <c r="AD7" s="60">
        <f t="shared" si="1"/>
        <v>1671.04</v>
      </c>
      <c r="AE7" s="60">
        <f t="shared" si="1"/>
        <v>1671.04</v>
      </c>
      <c r="AF7" s="60">
        <f t="shared" si="1"/>
        <v>1671.04</v>
      </c>
      <c r="AG7" s="60">
        <f t="shared" si="1"/>
        <v>1671.04</v>
      </c>
      <c r="AH7" s="60">
        <f t="shared" si="1"/>
        <v>1671.04</v>
      </c>
    </row>
    <row r="8" spans="1:34" ht="12.75" customHeight="1">
      <c r="A8" s="36">
        <v>2</v>
      </c>
      <c r="B8" s="10" t="s">
        <v>100</v>
      </c>
      <c r="C8" s="36"/>
      <c r="D8" s="60">
        <f t="shared" si="0"/>
        <v>24999.5</v>
      </c>
      <c r="E8" s="60">
        <f>SUM(E9,E18,E21)</f>
        <v>1279.68</v>
      </c>
      <c r="F8" s="60">
        <f aca="true" t="shared" si="2" ref="F8:AH8">SUM(F9,F18,F21)</f>
        <v>1279.68</v>
      </c>
      <c r="G8" s="60">
        <f t="shared" si="2"/>
        <v>1279.68</v>
      </c>
      <c r="H8" s="60">
        <f t="shared" si="2"/>
        <v>1279.68</v>
      </c>
      <c r="I8" s="60">
        <f t="shared" si="2"/>
        <v>1279.68</v>
      </c>
      <c r="J8" s="60">
        <f t="shared" si="2"/>
        <v>1279.68</v>
      </c>
      <c r="K8" s="60">
        <f t="shared" si="2"/>
        <v>1279.68</v>
      </c>
      <c r="L8" s="60">
        <f t="shared" si="2"/>
        <v>1033.98</v>
      </c>
      <c r="M8" s="60">
        <f t="shared" si="2"/>
        <v>1033.98</v>
      </c>
      <c r="N8" s="60">
        <f t="shared" si="2"/>
        <v>1033.98</v>
      </c>
      <c r="O8" s="60">
        <f t="shared" si="2"/>
        <v>1018.98</v>
      </c>
      <c r="P8" s="60">
        <f t="shared" si="2"/>
        <v>1018.98</v>
      </c>
      <c r="Q8" s="60">
        <f t="shared" si="2"/>
        <v>1018.98</v>
      </c>
      <c r="R8" s="60">
        <f t="shared" si="2"/>
        <v>1018.98</v>
      </c>
      <c r="S8" s="60">
        <f t="shared" si="2"/>
        <v>1018.98</v>
      </c>
      <c r="T8" s="60">
        <f t="shared" si="2"/>
        <v>1018.98</v>
      </c>
      <c r="U8" s="60">
        <f t="shared" si="2"/>
        <v>1018.98</v>
      </c>
      <c r="V8" s="60">
        <f t="shared" si="2"/>
        <v>1018.98</v>
      </c>
      <c r="W8" s="60">
        <f t="shared" si="2"/>
        <v>1018.98</v>
      </c>
      <c r="X8" s="60">
        <f t="shared" si="2"/>
        <v>1018.98</v>
      </c>
      <c r="Y8" s="60">
        <f t="shared" si="2"/>
        <v>275</v>
      </c>
      <c r="Z8" s="60">
        <f t="shared" si="2"/>
        <v>275</v>
      </c>
      <c r="AA8" s="60">
        <f t="shared" si="2"/>
        <v>275</v>
      </c>
      <c r="AB8" s="60">
        <f t="shared" si="2"/>
        <v>275</v>
      </c>
      <c r="AC8" s="60">
        <f t="shared" si="2"/>
        <v>275</v>
      </c>
      <c r="AD8" s="60">
        <f t="shared" si="2"/>
        <v>275</v>
      </c>
      <c r="AE8" s="60">
        <f t="shared" si="2"/>
        <v>275</v>
      </c>
      <c r="AF8" s="60">
        <f t="shared" si="2"/>
        <v>275</v>
      </c>
      <c r="AG8" s="60">
        <f t="shared" si="2"/>
        <v>275</v>
      </c>
      <c r="AH8" s="60">
        <f t="shared" si="2"/>
        <v>275</v>
      </c>
    </row>
    <row r="9" spans="1:34" ht="12.75" customHeight="1">
      <c r="A9" s="36"/>
      <c r="B9" s="10" t="s">
        <v>426</v>
      </c>
      <c r="C9" s="36"/>
      <c r="D9" s="60">
        <f t="shared" si="0"/>
        <v>8400</v>
      </c>
      <c r="E9" s="55">
        <f>SUM(E10:E11,E14:E16,-E17)</f>
        <v>290</v>
      </c>
      <c r="F9" s="55">
        <f aca="true" t="shared" si="3" ref="F9:AH9">SUM(F10:F11,F14:F16,-F17)</f>
        <v>290</v>
      </c>
      <c r="G9" s="55">
        <f t="shared" si="3"/>
        <v>290</v>
      </c>
      <c r="H9" s="55">
        <f t="shared" si="3"/>
        <v>290</v>
      </c>
      <c r="I9" s="55">
        <f t="shared" si="3"/>
        <v>290</v>
      </c>
      <c r="J9" s="55">
        <f t="shared" si="3"/>
        <v>290</v>
      </c>
      <c r="K9" s="55">
        <f t="shared" si="3"/>
        <v>290</v>
      </c>
      <c r="L9" s="55">
        <f t="shared" si="3"/>
        <v>290</v>
      </c>
      <c r="M9" s="55">
        <f t="shared" si="3"/>
        <v>290</v>
      </c>
      <c r="N9" s="55">
        <f t="shared" si="3"/>
        <v>290</v>
      </c>
      <c r="O9" s="55">
        <f t="shared" si="3"/>
        <v>275</v>
      </c>
      <c r="P9" s="55">
        <f t="shared" si="3"/>
        <v>275</v>
      </c>
      <c r="Q9" s="55">
        <f t="shared" si="3"/>
        <v>275</v>
      </c>
      <c r="R9" s="55">
        <f t="shared" si="3"/>
        <v>275</v>
      </c>
      <c r="S9" s="55">
        <f t="shared" si="3"/>
        <v>275</v>
      </c>
      <c r="T9" s="55">
        <f t="shared" si="3"/>
        <v>275</v>
      </c>
      <c r="U9" s="55">
        <f t="shared" si="3"/>
        <v>275</v>
      </c>
      <c r="V9" s="55">
        <f t="shared" si="3"/>
        <v>275</v>
      </c>
      <c r="W9" s="55">
        <f t="shared" si="3"/>
        <v>275</v>
      </c>
      <c r="X9" s="55">
        <f t="shared" si="3"/>
        <v>275</v>
      </c>
      <c r="Y9" s="55">
        <f t="shared" si="3"/>
        <v>275</v>
      </c>
      <c r="Z9" s="55">
        <f t="shared" si="3"/>
        <v>275</v>
      </c>
      <c r="AA9" s="55">
        <f t="shared" si="3"/>
        <v>275</v>
      </c>
      <c r="AB9" s="55">
        <f t="shared" si="3"/>
        <v>275</v>
      </c>
      <c r="AC9" s="55">
        <f t="shared" si="3"/>
        <v>275</v>
      </c>
      <c r="AD9" s="55">
        <f t="shared" si="3"/>
        <v>275</v>
      </c>
      <c r="AE9" s="55">
        <f t="shared" si="3"/>
        <v>275</v>
      </c>
      <c r="AF9" s="55">
        <f t="shared" si="3"/>
        <v>275</v>
      </c>
      <c r="AG9" s="55">
        <f t="shared" si="3"/>
        <v>275</v>
      </c>
      <c r="AH9" s="55">
        <f t="shared" si="3"/>
        <v>275</v>
      </c>
    </row>
    <row r="10" spans="1:34" ht="12.75" customHeight="1">
      <c r="A10" s="36">
        <v>2.1</v>
      </c>
      <c r="B10" s="10" t="s">
        <v>101</v>
      </c>
      <c r="C10" s="125">
        <v>0.001</v>
      </c>
      <c r="D10" s="60">
        <f t="shared" si="0"/>
        <v>231</v>
      </c>
      <c r="E10" s="56">
        <f>IF(E5&gt;0,$C10*'Operation Cost'!$D18,0)</f>
        <v>7.7</v>
      </c>
      <c r="F10" s="56">
        <f>IF(F5&gt;0,$C10*'Operation Cost'!$D18,0)</f>
        <v>7.7</v>
      </c>
      <c r="G10" s="56">
        <f>IF(G5&gt;0,$C10*'Operation Cost'!$D18,0)</f>
        <v>7.7</v>
      </c>
      <c r="H10" s="56">
        <f>IF(H5&gt;0,$C10*'Operation Cost'!$D18,0)</f>
        <v>7.7</v>
      </c>
      <c r="I10" s="56">
        <f>IF(I5&gt;0,$C10*'Operation Cost'!$D18,0)</f>
        <v>7.7</v>
      </c>
      <c r="J10" s="56">
        <f>IF(J5&gt;0,$C10*'Operation Cost'!$D18,0)</f>
        <v>7.7</v>
      </c>
      <c r="K10" s="56">
        <f>IF(K5&gt;0,$C10*'Operation Cost'!$D18,0)</f>
        <v>7.7</v>
      </c>
      <c r="L10" s="56">
        <f>IF(L5&gt;0,$C10*'Operation Cost'!$D18,0)</f>
        <v>7.7</v>
      </c>
      <c r="M10" s="56">
        <f>IF(M5&gt;0,$C10*'Operation Cost'!$D18,0)</f>
        <v>7.7</v>
      </c>
      <c r="N10" s="56">
        <f>IF(N5&gt;0,$C10*'Operation Cost'!$D18,0)</f>
        <v>7.7</v>
      </c>
      <c r="O10" s="56">
        <f>IF(O5&gt;0,$C10*'Operation Cost'!$D18,0)</f>
        <v>7.7</v>
      </c>
      <c r="P10" s="56">
        <f>IF(P5&gt;0,$C10*'Operation Cost'!$D18,0)</f>
        <v>7.7</v>
      </c>
      <c r="Q10" s="56">
        <f>IF(Q5&gt;0,$C10*'Operation Cost'!$D18,0)</f>
        <v>7.7</v>
      </c>
      <c r="R10" s="56">
        <f>IF(R5&gt;0,$C10*'Operation Cost'!$D18,0)</f>
        <v>7.7</v>
      </c>
      <c r="S10" s="56">
        <f>IF(S5&gt;0,$C10*'Operation Cost'!$D18,0)</f>
        <v>7.7</v>
      </c>
      <c r="T10" s="56">
        <f>IF(T5&gt;0,$C10*'Operation Cost'!$D18,0)</f>
        <v>7.7</v>
      </c>
      <c r="U10" s="56">
        <f>IF(U5&gt;0,$C10*'Operation Cost'!$D18,0)</f>
        <v>7.7</v>
      </c>
      <c r="V10" s="56">
        <f>IF(V5&gt;0,$C10*'Operation Cost'!$D18,0)</f>
        <v>7.7</v>
      </c>
      <c r="W10" s="56">
        <f>IF(W5&gt;0,$C10*'Operation Cost'!$D18,0)</f>
        <v>7.7</v>
      </c>
      <c r="X10" s="56">
        <f>IF(X5&gt;0,$C10*'Operation Cost'!$D18,0)</f>
        <v>7.7</v>
      </c>
      <c r="Y10" s="56">
        <f>IF(Y5&gt;0,$C10*'Operation Cost'!$D18,0)</f>
        <v>7.7</v>
      </c>
      <c r="Z10" s="56">
        <f>IF(Z5&gt;0,$C10*'Operation Cost'!$D18,0)</f>
        <v>7.7</v>
      </c>
      <c r="AA10" s="56">
        <f>IF(AA5&gt;0,$C10*'Operation Cost'!$D18,0)</f>
        <v>7.7</v>
      </c>
      <c r="AB10" s="56">
        <f>IF(AB5&gt;0,$C10*'Operation Cost'!$D18,0)</f>
        <v>7.7</v>
      </c>
      <c r="AC10" s="56">
        <f>IF(AC5&gt;0,$C10*'Operation Cost'!$D18,0)</f>
        <v>7.7</v>
      </c>
      <c r="AD10" s="56">
        <f>IF(AD5&gt;0,$C10*'Operation Cost'!$D18,0)</f>
        <v>7.7</v>
      </c>
      <c r="AE10" s="56">
        <f>IF(AE5&gt;0,$C10*'Operation Cost'!$D18,0)</f>
        <v>7.7</v>
      </c>
      <c r="AF10" s="56">
        <f>IF(AF5&gt;0,$C10*'Operation Cost'!$D18,0)</f>
        <v>7.7</v>
      </c>
      <c r="AG10" s="56">
        <f>IF(AG5&gt;0,$C10*'Operation Cost'!$D18,0)</f>
        <v>7.7</v>
      </c>
      <c r="AH10" s="56">
        <f>IF(AH5&gt;0,$C10*'Operation Cost'!$D18,0)</f>
        <v>7.7</v>
      </c>
    </row>
    <row r="11" spans="1:34" ht="12.75" customHeight="1">
      <c r="A11" s="36">
        <v>2.2</v>
      </c>
      <c r="B11" s="10" t="s">
        <v>102</v>
      </c>
      <c r="C11" s="36"/>
      <c r="D11" s="60">
        <f t="shared" si="0"/>
        <v>6240</v>
      </c>
      <c r="E11" s="60">
        <f>SUM(E12:E13)</f>
        <v>208</v>
      </c>
      <c r="F11" s="60">
        <f aca="true" t="shared" si="4" ref="F11:AH11">SUM(F12:F13)</f>
        <v>208</v>
      </c>
      <c r="G11" s="60">
        <f t="shared" si="4"/>
        <v>208</v>
      </c>
      <c r="H11" s="60">
        <f t="shared" si="4"/>
        <v>208</v>
      </c>
      <c r="I11" s="60">
        <f t="shared" si="4"/>
        <v>208</v>
      </c>
      <c r="J11" s="60">
        <f t="shared" si="4"/>
        <v>208</v>
      </c>
      <c r="K11" s="60">
        <f t="shared" si="4"/>
        <v>208</v>
      </c>
      <c r="L11" s="60">
        <f t="shared" si="4"/>
        <v>208</v>
      </c>
      <c r="M11" s="60">
        <f t="shared" si="4"/>
        <v>208</v>
      </c>
      <c r="N11" s="60">
        <f t="shared" si="4"/>
        <v>208</v>
      </c>
      <c r="O11" s="60">
        <f t="shared" si="4"/>
        <v>208</v>
      </c>
      <c r="P11" s="60">
        <f t="shared" si="4"/>
        <v>208</v>
      </c>
      <c r="Q11" s="60">
        <f t="shared" si="4"/>
        <v>208</v>
      </c>
      <c r="R11" s="60">
        <f t="shared" si="4"/>
        <v>208</v>
      </c>
      <c r="S11" s="60">
        <f t="shared" si="4"/>
        <v>208</v>
      </c>
      <c r="T11" s="60">
        <f t="shared" si="4"/>
        <v>208</v>
      </c>
      <c r="U11" s="60">
        <f t="shared" si="4"/>
        <v>208</v>
      </c>
      <c r="V11" s="60">
        <f t="shared" si="4"/>
        <v>208</v>
      </c>
      <c r="W11" s="60">
        <f t="shared" si="4"/>
        <v>208</v>
      </c>
      <c r="X11" s="60">
        <f t="shared" si="4"/>
        <v>208</v>
      </c>
      <c r="Y11" s="60">
        <f t="shared" si="4"/>
        <v>208</v>
      </c>
      <c r="Z11" s="60">
        <f t="shared" si="4"/>
        <v>208</v>
      </c>
      <c r="AA11" s="60">
        <f t="shared" si="4"/>
        <v>208</v>
      </c>
      <c r="AB11" s="60">
        <f t="shared" si="4"/>
        <v>208</v>
      </c>
      <c r="AC11" s="60">
        <f t="shared" si="4"/>
        <v>208</v>
      </c>
      <c r="AD11" s="60">
        <f t="shared" si="4"/>
        <v>208</v>
      </c>
      <c r="AE11" s="60">
        <f t="shared" si="4"/>
        <v>208</v>
      </c>
      <c r="AF11" s="60">
        <f t="shared" si="4"/>
        <v>208</v>
      </c>
      <c r="AG11" s="60">
        <f t="shared" si="4"/>
        <v>208</v>
      </c>
      <c r="AH11" s="60">
        <f t="shared" si="4"/>
        <v>208</v>
      </c>
    </row>
    <row r="12" spans="1:34" ht="12.75" customHeight="1">
      <c r="A12" s="36"/>
      <c r="B12" s="10" t="s">
        <v>103</v>
      </c>
      <c r="C12" s="36"/>
      <c r="D12" s="60">
        <f t="shared" si="0"/>
        <v>6240</v>
      </c>
      <c r="E12" s="60">
        <f>IF(E5&gt;0,'Operation Cost'!$D29,0)</f>
        <v>208</v>
      </c>
      <c r="F12" s="60">
        <f>IF(F5&gt;0,'Operation Cost'!$D29,0)</f>
        <v>208</v>
      </c>
      <c r="G12" s="60">
        <f>IF(G5&gt;0,'Operation Cost'!$D29,0)</f>
        <v>208</v>
      </c>
      <c r="H12" s="60">
        <f>IF(H5&gt;0,'Operation Cost'!$D29,0)</f>
        <v>208</v>
      </c>
      <c r="I12" s="60">
        <f>IF(I5&gt;0,'Operation Cost'!$D29,0)</f>
        <v>208</v>
      </c>
      <c r="J12" s="60">
        <f>IF(J5&gt;0,'Operation Cost'!$D29,0)</f>
        <v>208</v>
      </c>
      <c r="K12" s="60">
        <f>IF(K5&gt;0,'Operation Cost'!$D29,0)</f>
        <v>208</v>
      </c>
      <c r="L12" s="60">
        <f>IF(L5&gt;0,'Operation Cost'!$D29,0)</f>
        <v>208</v>
      </c>
      <c r="M12" s="60">
        <f>IF(M5&gt;0,'Operation Cost'!$D29,0)</f>
        <v>208</v>
      </c>
      <c r="N12" s="60">
        <f>IF(N5&gt;0,'Operation Cost'!$D29,0)</f>
        <v>208</v>
      </c>
      <c r="O12" s="60">
        <f>IF(O5&gt;0,'Operation Cost'!$D29,0)</f>
        <v>208</v>
      </c>
      <c r="P12" s="60">
        <f>IF(P5&gt;0,'Operation Cost'!$D29,0)</f>
        <v>208</v>
      </c>
      <c r="Q12" s="60">
        <f>IF(Q5&gt;0,'Operation Cost'!$D29,0)</f>
        <v>208</v>
      </c>
      <c r="R12" s="60">
        <f>IF(R5&gt;0,'Operation Cost'!$D29,0)</f>
        <v>208</v>
      </c>
      <c r="S12" s="60">
        <f>IF(S5&gt;0,'Operation Cost'!$D29,0)</f>
        <v>208</v>
      </c>
      <c r="T12" s="60">
        <f>IF(T5&gt;0,'Operation Cost'!$D29,0)</f>
        <v>208</v>
      </c>
      <c r="U12" s="60">
        <f>IF(U5&gt;0,'Operation Cost'!$D29,0)</f>
        <v>208</v>
      </c>
      <c r="V12" s="60">
        <f>IF(V5&gt;0,'Operation Cost'!$D29,0)</f>
        <v>208</v>
      </c>
      <c r="W12" s="60">
        <f>IF(W5&gt;0,'Operation Cost'!$D29,0)</f>
        <v>208</v>
      </c>
      <c r="X12" s="60">
        <f>IF(X5&gt;0,'Operation Cost'!$D29,0)</f>
        <v>208</v>
      </c>
      <c r="Y12" s="60">
        <f>IF(Y5&gt;0,'Operation Cost'!$D29,0)</f>
        <v>208</v>
      </c>
      <c r="Z12" s="60">
        <f>IF(Z5&gt;0,'Operation Cost'!$D29,0)</f>
        <v>208</v>
      </c>
      <c r="AA12" s="60">
        <f>IF(AA5&gt;0,'Operation Cost'!$D29,0)</f>
        <v>208</v>
      </c>
      <c r="AB12" s="60">
        <f>IF(AB5&gt;0,'Operation Cost'!$D29,0)</f>
        <v>208</v>
      </c>
      <c r="AC12" s="60">
        <f>IF(AC5&gt;0,'Operation Cost'!$D29,0)</f>
        <v>208</v>
      </c>
      <c r="AD12" s="60">
        <f>IF(AD5&gt;0,'Operation Cost'!$D29,0)</f>
        <v>208</v>
      </c>
      <c r="AE12" s="60">
        <f>IF(AE5&gt;0,'Operation Cost'!$D29,0)</f>
        <v>208</v>
      </c>
      <c r="AF12" s="60">
        <f>IF(AF5&gt;0,'Operation Cost'!$D29,0)</f>
        <v>208</v>
      </c>
      <c r="AG12" s="60">
        <f>IF(AG5&gt;0,'Operation Cost'!$D29,0)</f>
        <v>208</v>
      </c>
      <c r="AH12" s="60">
        <f>IF(AH5&gt;0,'Operation Cost'!$D29,0)</f>
        <v>208</v>
      </c>
    </row>
    <row r="13" spans="1:34" ht="12.75" customHeight="1">
      <c r="A13" s="36"/>
      <c r="B13" s="10" t="s">
        <v>104</v>
      </c>
      <c r="C13" s="36"/>
      <c r="D13" s="60">
        <f t="shared" si="0"/>
        <v>0</v>
      </c>
      <c r="E13" s="60">
        <f>IF(E5&gt;0,'Operation Cost'!$D36,0)</f>
        <v>0</v>
      </c>
      <c r="F13" s="60">
        <f>IF(F5&gt;0,'Operation Cost'!$D36,0)</f>
        <v>0</v>
      </c>
      <c r="G13" s="60">
        <f>IF(G5&gt;0,'Operation Cost'!$D36,0)</f>
        <v>0</v>
      </c>
      <c r="H13" s="60">
        <f>IF(H5&gt;0,'Operation Cost'!$D36,0)</f>
        <v>0</v>
      </c>
      <c r="I13" s="60">
        <f>IF(I5&gt;0,'Operation Cost'!$D36,0)</f>
        <v>0</v>
      </c>
      <c r="J13" s="60">
        <f>IF(J5&gt;0,'Operation Cost'!$D36,0)</f>
        <v>0</v>
      </c>
      <c r="K13" s="60">
        <f>IF(K5&gt;0,'Operation Cost'!$D36,0)</f>
        <v>0</v>
      </c>
      <c r="L13" s="60">
        <f>IF(L5&gt;0,'Operation Cost'!$D36,0)</f>
        <v>0</v>
      </c>
      <c r="M13" s="60">
        <f>IF(M5&gt;0,'Operation Cost'!$D36,0)</f>
        <v>0</v>
      </c>
      <c r="N13" s="60">
        <f>IF(N5&gt;0,'Operation Cost'!$D36,0)</f>
        <v>0</v>
      </c>
      <c r="O13" s="60">
        <f>IF(O5&gt;0,'Operation Cost'!$D36,0)</f>
        <v>0</v>
      </c>
      <c r="P13" s="60">
        <f>IF(P5&gt;0,'Operation Cost'!$D36,0)</f>
        <v>0</v>
      </c>
      <c r="Q13" s="60">
        <f>IF(Q5&gt;0,'Operation Cost'!$D36,0)</f>
        <v>0</v>
      </c>
      <c r="R13" s="60">
        <f>IF(R5&gt;0,'Operation Cost'!$D36,0)</f>
        <v>0</v>
      </c>
      <c r="S13" s="60">
        <f>IF(S5&gt;0,'Operation Cost'!$D36,0)</f>
        <v>0</v>
      </c>
      <c r="T13" s="60">
        <f>IF(T5&gt;0,'Operation Cost'!$D36,0)</f>
        <v>0</v>
      </c>
      <c r="U13" s="60">
        <f>IF(U5&gt;0,'Operation Cost'!$D36,0)</f>
        <v>0</v>
      </c>
      <c r="V13" s="60">
        <f>IF(V5&gt;0,'Operation Cost'!$D36,0)</f>
        <v>0</v>
      </c>
      <c r="W13" s="60">
        <f>IF(W5&gt;0,'Operation Cost'!$D36,0)</f>
        <v>0</v>
      </c>
      <c r="X13" s="60">
        <f>IF(X5&gt;0,'Operation Cost'!$D36,0)</f>
        <v>0</v>
      </c>
      <c r="Y13" s="60">
        <f>IF(Y5&gt;0,'Operation Cost'!$D36,0)</f>
        <v>0</v>
      </c>
      <c r="Z13" s="60">
        <f>IF(Z5&gt;0,'Operation Cost'!$D36,0)</f>
        <v>0</v>
      </c>
      <c r="AA13" s="60">
        <f>IF(AA5&gt;0,'Operation Cost'!$D36,0)</f>
        <v>0</v>
      </c>
      <c r="AB13" s="60">
        <f>IF(AB5&gt;0,'Operation Cost'!$D36,0)</f>
        <v>0</v>
      </c>
      <c r="AC13" s="60">
        <f>IF(AC5&gt;0,'Operation Cost'!$D36,0)</f>
        <v>0</v>
      </c>
      <c r="AD13" s="60">
        <f>IF(AD5&gt;0,'Operation Cost'!$D36,0)</f>
        <v>0</v>
      </c>
      <c r="AE13" s="60">
        <f>IF(AE5&gt;0,'Operation Cost'!$D36,0)</f>
        <v>0</v>
      </c>
      <c r="AF13" s="60">
        <f>IF(AF5&gt;0,'Operation Cost'!$D36,0)</f>
        <v>0</v>
      </c>
      <c r="AG13" s="60">
        <f>IF(AG5&gt;0,'Operation Cost'!$D36,0)</f>
        <v>0</v>
      </c>
      <c r="AH13" s="60">
        <f>IF(AH5&gt;0,'Operation Cost'!$D36,0)</f>
        <v>0</v>
      </c>
    </row>
    <row r="14" spans="1:34" ht="12.75" customHeight="1">
      <c r="A14" s="36">
        <v>2.3</v>
      </c>
      <c r="B14" s="10" t="s">
        <v>105</v>
      </c>
      <c r="C14" s="36"/>
      <c r="D14" s="60">
        <f t="shared" si="0"/>
        <v>840</v>
      </c>
      <c r="E14" s="60">
        <f>IF(E5&gt;0,'Operation Cost'!$D21+'Operation Cost'!$D24,0)</f>
        <v>28</v>
      </c>
      <c r="F14" s="60">
        <f>IF(F5&gt;0,'Operation Cost'!$D21+'Operation Cost'!$D24,0)</f>
        <v>28</v>
      </c>
      <c r="G14" s="60">
        <f>IF(G5&gt;0,'Operation Cost'!$D21+'Operation Cost'!$D24,0)</f>
        <v>28</v>
      </c>
      <c r="H14" s="60">
        <f>IF(H5&gt;0,'Operation Cost'!$D21+'Operation Cost'!$D24,0)</f>
        <v>28</v>
      </c>
      <c r="I14" s="60">
        <f>IF(I5&gt;0,'Operation Cost'!$D21+'Operation Cost'!$D24,0)</f>
        <v>28</v>
      </c>
      <c r="J14" s="60">
        <f>IF(J5&gt;0,'Operation Cost'!$D21+'Operation Cost'!$D24,0)</f>
        <v>28</v>
      </c>
      <c r="K14" s="60">
        <f>IF(K5&gt;0,'Operation Cost'!$D21+'Operation Cost'!$D24,0)</f>
        <v>28</v>
      </c>
      <c r="L14" s="60">
        <f>IF(L5&gt;0,'Operation Cost'!$D21+'Operation Cost'!$D24,0)</f>
        <v>28</v>
      </c>
      <c r="M14" s="60">
        <f>IF(M5&gt;0,'Operation Cost'!$D21+'Operation Cost'!$D24,0)</f>
        <v>28</v>
      </c>
      <c r="N14" s="60">
        <f>IF(N5&gt;0,'Operation Cost'!$D21+'Operation Cost'!$D24,0)</f>
        <v>28</v>
      </c>
      <c r="O14" s="60">
        <f>IF(O5&gt;0,'Operation Cost'!$D21+'Operation Cost'!$D24,0)</f>
        <v>28</v>
      </c>
      <c r="P14" s="60">
        <f>IF(P5&gt;0,'Operation Cost'!$D21+'Operation Cost'!$D24,0)</f>
        <v>28</v>
      </c>
      <c r="Q14" s="60">
        <f>IF(Q5&gt;0,'Operation Cost'!$D21+'Operation Cost'!$D24,0)</f>
        <v>28</v>
      </c>
      <c r="R14" s="60">
        <f>IF(R5&gt;0,'Operation Cost'!$D21+'Operation Cost'!$D24,0)</f>
        <v>28</v>
      </c>
      <c r="S14" s="60">
        <f>IF(S5&gt;0,'Operation Cost'!$D21+'Operation Cost'!$D24,0)</f>
        <v>28</v>
      </c>
      <c r="T14" s="60">
        <f>IF(T5&gt;0,'Operation Cost'!$D21+'Operation Cost'!$D24,0)</f>
        <v>28</v>
      </c>
      <c r="U14" s="60">
        <f>IF(U5&gt;0,'Operation Cost'!$D21+'Operation Cost'!$D24,0)</f>
        <v>28</v>
      </c>
      <c r="V14" s="60">
        <f>IF(V5&gt;0,'Operation Cost'!$D21+'Operation Cost'!$D24,0)</f>
        <v>28</v>
      </c>
      <c r="W14" s="60">
        <f>IF(W5&gt;0,'Operation Cost'!$D21+'Operation Cost'!$D24,0)</f>
        <v>28</v>
      </c>
      <c r="X14" s="60">
        <f>IF(X5&gt;0,'Operation Cost'!$D21+'Operation Cost'!$D24,0)</f>
        <v>28</v>
      </c>
      <c r="Y14" s="60">
        <f>IF(Y5&gt;0,'Operation Cost'!$D21+'Operation Cost'!$D24,0)</f>
        <v>28</v>
      </c>
      <c r="Z14" s="60">
        <f>IF(Z5&gt;0,'Operation Cost'!$D21+'Operation Cost'!$D24,0)</f>
        <v>28</v>
      </c>
      <c r="AA14" s="60">
        <f>IF(AA5&gt;0,'Operation Cost'!$D21+'Operation Cost'!$D24,0)</f>
        <v>28</v>
      </c>
      <c r="AB14" s="60">
        <f>IF(AB5&gt;0,'Operation Cost'!$D21+'Operation Cost'!$D24,0)</f>
        <v>28</v>
      </c>
      <c r="AC14" s="60">
        <f>IF(AC5&gt;0,'Operation Cost'!$D21+'Operation Cost'!$D24,0)</f>
        <v>28</v>
      </c>
      <c r="AD14" s="60">
        <f>IF(AD5&gt;0,'Operation Cost'!$D21+'Operation Cost'!$D24,0)</f>
        <v>28</v>
      </c>
      <c r="AE14" s="60">
        <f>IF(AE5&gt;0,'Operation Cost'!$D21+'Operation Cost'!$D24,0)</f>
        <v>28</v>
      </c>
      <c r="AF14" s="60">
        <f>IF(AF5&gt;0,'Operation Cost'!$D21+'Operation Cost'!$D24,0)</f>
        <v>28</v>
      </c>
      <c r="AG14" s="60">
        <f>IF(AG5&gt;0,'Operation Cost'!$D21+'Operation Cost'!$D24,0)</f>
        <v>28</v>
      </c>
      <c r="AH14" s="60">
        <f>IF(AH5&gt;0,'Operation Cost'!$D21+'Operation Cost'!$D24,0)</f>
        <v>28</v>
      </c>
    </row>
    <row r="15" spans="1:34" ht="12.75" customHeight="1">
      <c r="A15" s="36">
        <v>2.4</v>
      </c>
      <c r="B15" s="34" t="s">
        <v>106</v>
      </c>
      <c r="C15" s="68">
        <v>0.0025</v>
      </c>
      <c r="D15" s="60">
        <f aca="true" t="shared" si="5" ref="D15:D20">SUM(E15:AH15)</f>
        <v>1116</v>
      </c>
      <c r="E15" s="60">
        <f>IF(E5&gt;0,'Operation Cost'!$D9*$C15,0)</f>
        <v>37.2</v>
      </c>
      <c r="F15" s="60">
        <f>IF(F5&gt;0,'Operation Cost'!$D9*$C15,0)</f>
        <v>37.2</v>
      </c>
      <c r="G15" s="60">
        <f>IF(G5&gt;0,'Operation Cost'!$D9*$C15,0)</f>
        <v>37.2</v>
      </c>
      <c r="H15" s="60">
        <f>IF(H5&gt;0,'Operation Cost'!$D9*$C15,0)</f>
        <v>37.2</v>
      </c>
      <c r="I15" s="60">
        <f>IF(I5&gt;0,'Operation Cost'!$D9*$C15,0)</f>
        <v>37.2</v>
      </c>
      <c r="J15" s="60">
        <f>IF(J5&gt;0,'Operation Cost'!$D9*$C15,0)</f>
        <v>37.2</v>
      </c>
      <c r="K15" s="60">
        <f>IF(K5&gt;0,'Operation Cost'!$D9*$C15,0)</f>
        <v>37.2</v>
      </c>
      <c r="L15" s="60">
        <f>IF(L5&gt;0,'Operation Cost'!$D9*$C15,0)</f>
        <v>37.2</v>
      </c>
      <c r="M15" s="60">
        <f>IF(M5&gt;0,'Operation Cost'!$D9*$C15,0)</f>
        <v>37.2</v>
      </c>
      <c r="N15" s="60">
        <f>IF(N5&gt;0,'Operation Cost'!$D9*$C15,0)</f>
        <v>37.2</v>
      </c>
      <c r="O15" s="60">
        <f>IF(O5&gt;0,'Operation Cost'!$D9*$C15,0)</f>
        <v>37.2</v>
      </c>
      <c r="P15" s="60">
        <f>IF(P5&gt;0,'Operation Cost'!$D9*$C15,0)</f>
        <v>37.2</v>
      </c>
      <c r="Q15" s="60">
        <f>IF(Q5&gt;0,'Operation Cost'!$D9*$C15,0)</f>
        <v>37.2</v>
      </c>
      <c r="R15" s="60">
        <f>IF(R5&gt;0,'Operation Cost'!$D9*$C15,0)</f>
        <v>37.2</v>
      </c>
      <c r="S15" s="60">
        <f>IF(S5&gt;0,'Operation Cost'!$D9*$C15,0)</f>
        <v>37.2</v>
      </c>
      <c r="T15" s="60">
        <f>IF(T5&gt;0,'Operation Cost'!$D9*$C15,0)</f>
        <v>37.2</v>
      </c>
      <c r="U15" s="60">
        <f>IF(U5&gt;0,'Operation Cost'!$D9*$C15,0)</f>
        <v>37.2</v>
      </c>
      <c r="V15" s="60">
        <f>IF(V5&gt;0,'Operation Cost'!$D9*$C15,0)</f>
        <v>37.2</v>
      </c>
      <c r="W15" s="60">
        <f>IF(W5&gt;0,'Operation Cost'!$D9*$C15,0)</f>
        <v>37.2</v>
      </c>
      <c r="X15" s="60">
        <f>IF(X5&gt;0,'Operation Cost'!$D9*$C15,0)</f>
        <v>37.2</v>
      </c>
      <c r="Y15" s="60">
        <f>IF(Y5&gt;0,'Operation Cost'!$D9*$C15,0)</f>
        <v>37.2</v>
      </c>
      <c r="Z15" s="60">
        <f>IF(Z5&gt;0,'Operation Cost'!$D9*$C15,0)</f>
        <v>37.2</v>
      </c>
      <c r="AA15" s="60">
        <f>IF(AA5&gt;0,'Operation Cost'!$D9*$C15,0)</f>
        <v>37.2</v>
      </c>
      <c r="AB15" s="60">
        <f>IF(AB5&gt;0,'Operation Cost'!$D9*$C15,0)</f>
        <v>37.2</v>
      </c>
      <c r="AC15" s="60">
        <f>IF(AC5&gt;0,'Operation Cost'!$D9*$C15,0)</f>
        <v>37.2</v>
      </c>
      <c r="AD15" s="60">
        <f>IF(AD5&gt;0,'Operation Cost'!$D9*$C15,0)</f>
        <v>37.2</v>
      </c>
      <c r="AE15" s="60">
        <f>IF(AE5&gt;0,'Operation Cost'!$D9*$C15,0)</f>
        <v>37.2</v>
      </c>
      <c r="AF15" s="60">
        <f>IF(AF5&gt;0,'Operation Cost'!$D9*$C15,0)</f>
        <v>37.2</v>
      </c>
      <c r="AG15" s="60">
        <f>IF(AG5&gt;0,'Operation Cost'!$D9*$C15,0)</f>
        <v>37.2</v>
      </c>
      <c r="AH15" s="60">
        <f>IF(AH5&gt;0,'Operation Cost'!$D9*$C15,0)</f>
        <v>37.2</v>
      </c>
    </row>
    <row r="16" spans="1:34" ht="12.75" customHeight="1">
      <c r="A16" s="36">
        <v>2.5</v>
      </c>
      <c r="B16" s="34" t="s">
        <v>425</v>
      </c>
      <c r="C16" s="126">
        <v>0.002</v>
      </c>
      <c r="D16" s="85">
        <f t="shared" si="5"/>
        <v>153</v>
      </c>
      <c r="E16" s="85">
        <f>IF(E5&gt;0,$C16*'Operation Cost'!$D18,0)</f>
        <v>15.3</v>
      </c>
      <c r="F16" s="85">
        <f>IF(F5&gt;0,$C16*'Operation Cost'!$D18,0)</f>
        <v>15.3</v>
      </c>
      <c r="G16" s="85">
        <f>IF(G5&gt;0,$C16*'Operation Cost'!$D18,0)</f>
        <v>15.3</v>
      </c>
      <c r="H16" s="85">
        <f>IF(H5&gt;0,$C16*'Operation Cost'!$D18,0)</f>
        <v>15.3</v>
      </c>
      <c r="I16" s="85">
        <f>IF(I5&gt;0,$C16*'Operation Cost'!$D18,0)</f>
        <v>15.3</v>
      </c>
      <c r="J16" s="85">
        <f>IF(J5&gt;0,$C16*'Operation Cost'!$D18,0)</f>
        <v>15.3</v>
      </c>
      <c r="K16" s="85">
        <f>IF(K5&gt;0,$C16*'Operation Cost'!$D18,0)</f>
        <v>15.3</v>
      </c>
      <c r="L16" s="85">
        <f>IF(L5&gt;0,$C16*'Operation Cost'!$D18,0)</f>
        <v>15.3</v>
      </c>
      <c r="M16" s="85">
        <f>IF(M5&gt;0,$C16*'Operation Cost'!$D18,0)</f>
        <v>15.3</v>
      </c>
      <c r="N16" s="85">
        <f>IF(N5&gt;0,$C16*'Operation Cost'!$D18,0)</f>
        <v>15.3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ht="12.75" customHeight="1">
      <c r="A17" s="36">
        <v>2.6</v>
      </c>
      <c r="B17" s="34" t="s">
        <v>427</v>
      </c>
      <c r="C17" s="163"/>
      <c r="D17" s="63">
        <f t="shared" si="5"/>
        <v>180</v>
      </c>
      <c r="E17" s="55">
        <f>('Operation Cost'!D31+'Operation Cost'!D30*0.69)*'Cost and Income'!C23/(1+'Cost and Income'!C23)</f>
        <v>6</v>
      </c>
      <c r="F17" s="55">
        <f>E17</f>
        <v>6</v>
      </c>
      <c r="G17" s="55">
        <f aca="true" t="shared" si="6" ref="G17:AH17">F17</f>
        <v>6</v>
      </c>
      <c r="H17" s="55">
        <f t="shared" si="6"/>
        <v>6</v>
      </c>
      <c r="I17" s="55">
        <f t="shared" si="6"/>
        <v>6</v>
      </c>
      <c r="J17" s="55">
        <f t="shared" si="6"/>
        <v>6</v>
      </c>
      <c r="K17" s="55">
        <f t="shared" si="6"/>
        <v>6</v>
      </c>
      <c r="L17" s="55">
        <f t="shared" si="6"/>
        <v>6</v>
      </c>
      <c r="M17" s="55">
        <f t="shared" si="6"/>
        <v>6</v>
      </c>
      <c r="N17" s="55">
        <f t="shared" si="6"/>
        <v>6</v>
      </c>
      <c r="O17" s="55">
        <f t="shared" si="6"/>
        <v>6</v>
      </c>
      <c r="P17" s="55">
        <f t="shared" si="6"/>
        <v>6</v>
      </c>
      <c r="Q17" s="55">
        <f t="shared" si="6"/>
        <v>6</v>
      </c>
      <c r="R17" s="55">
        <f t="shared" si="6"/>
        <v>6</v>
      </c>
      <c r="S17" s="55">
        <f t="shared" si="6"/>
        <v>6</v>
      </c>
      <c r="T17" s="55">
        <f t="shared" si="6"/>
        <v>6</v>
      </c>
      <c r="U17" s="55">
        <f t="shared" si="6"/>
        <v>6</v>
      </c>
      <c r="V17" s="55">
        <f t="shared" si="6"/>
        <v>6</v>
      </c>
      <c r="W17" s="55">
        <f t="shared" si="6"/>
        <v>6</v>
      </c>
      <c r="X17" s="55">
        <f t="shared" si="6"/>
        <v>6</v>
      </c>
      <c r="Y17" s="55">
        <f t="shared" si="6"/>
        <v>6</v>
      </c>
      <c r="Z17" s="55">
        <f t="shared" si="6"/>
        <v>6</v>
      </c>
      <c r="AA17" s="55">
        <f t="shared" si="6"/>
        <v>6</v>
      </c>
      <c r="AB17" s="55">
        <f t="shared" si="6"/>
        <v>6</v>
      </c>
      <c r="AC17" s="55">
        <f t="shared" si="6"/>
        <v>6</v>
      </c>
      <c r="AD17" s="55">
        <f t="shared" si="6"/>
        <v>6</v>
      </c>
      <c r="AE17" s="55">
        <f t="shared" si="6"/>
        <v>6</v>
      </c>
      <c r="AF17" s="55">
        <f t="shared" si="6"/>
        <v>6</v>
      </c>
      <c r="AG17" s="55">
        <f t="shared" si="6"/>
        <v>6</v>
      </c>
      <c r="AH17" s="55">
        <f t="shared" si="6"/>
        <v>6</v>
      </c>
    </row>
    <row r="18" spans="1:34" ht="12.75" customHeight="1">
      <c r="A18" s="36">
        <v>2.7</v>
      </c>
      <c r="B18" s="34" t="s">
        <v>107</v>
      </c>
      <c r="C18" s="127"/>
      <c r="D18" s="60">
        <f t="shared" si="5"/>
        <v>14879.6</v>
      </c>
      <c r="E18" s="60">
        <f>SUM(E19:E20)</f>
        <v>743.98</v>
      </c>
      <c r="F18" s="60">
        <f aca="true" t="shared" si="7" ref="F18:AH18">SUM(F19:F20)</f>
        <v>743.98</v>
      </c>
      <c r="G18" s="60">
        <f t="shared" si="7"/>
        <v>743.98</v>
      </c>
      <c r="H18" s="60">
        <f t="shared" si="7"/>
        <v>743.98</v>
      </c>
      <c r="I18" s="60">
        <f t="shared" si="7"/>
        <v>743.98</v>
      </c>
      <c r="J18" s="60">
        <f t="shared" si="7"/>
        <v>743.98</v>
      </c>
      <c r="K18" s="60">
        <f t="shared" si="7"/>
        <v>743.98</v>
      </c>
      <c r="L18" s="60">
        <f t="shared" si="7"/>
        <v>743.98</v>
      </c>
      <c r="M18" s="60">
        <f t="shared" si="7"/>
        <v>743.98</v>
      </c>
      <c r="N18" s="60">
        <f t="shared" si="7"/>
        <v>743.98</v>
      </c>
      <c r="O18" s="60">
        <f t="shared" si="7"/>
        <v>743.98</v>
      </c>
      <c r="P18" s="60">
        <f t="shared" si="7"/>
        <v>743.98</v>
      </c>
      <c r="Q18" s="60">
        <f t="shared" si="7"/>
        <v>743.98</v>
      </c>
      <c r="R18" s="60">
        <f t="shared" si="7"/>
        <v>743.98</v>
      </c>
      <c r="S18" s="60">
        <f t="shared" si="7"/>
        <v>743.98</v>
      </c>
      <c r="T18" s="60">
        <f t="shared" si="7"/>
        <v>743.98</v>
      </c>
      <c r="U18" s="60">
        <f t="shared" si="7"/>
        <v>743.98</v>
      </c>
      <c r="V18" s="60">
        <f t="shared" si="7"/>
        <v>743.98</v>
      </c>
      <c r="W18" s="60">
        <f t="shared" si="7"/>
        <v>743.98</v>
      </c>
      <c r="X18" s="60">
        <f t="shared" si="7"/>
        <v>743.98</v>
      </c>
      <c r="Y18" s="60">
        <f t="shared" si="7"/>
        <v>0</v>
      </c>
      <c r="Z18" s="60">
        <f t="shared" si="7"/>
        <v>0</v>
      </c>
      <c r="AA18" s="60">
        <f t="shared" si="7"/>
        <v>0</v>
      </c>
      <c r="AB18" s="60">
        <f t="shared" si="7"/>
        <v>0</v>
      </c>
      <c r="AC18" s="60">
        <f t="shared" si="7"/>
        <v>0</v>
      </c>
      <c r="AD18" s="60">
        <f t="shared" si="7"/>
        <v>0</v>
      </c>
      <c r="AE18" s="60">
        <f t="shared" si="7"/>
        <v>0</v>
      </c>
      <c r="AF18" s="60">
        <f t="shared" si="7"/>
        <v>0</v>
      </c>
      <c r="AG18" s="60">
        <f t="shared" si="7"/>
        <v>0</v>
      </c>
      <c r="AH18" s="60">
        <f t="shared" si="7"/>
        <v>0</v>
      </c>
    </row>
    <row r="19" spans="1:34" ht="12.75" customHeight="1">
      <c r="A19" s="36"/>
      <c r="B19" s="34" t="s">
        <v>108</v>
      </c>
      <c r="C19" s="127"/>
      <c r="D19" s="60">
        <f t="shared" si="5"/>
        <v>14879.6</v>
      </c>
      <c r="E19" s="60">
        <f>'Plan for Repayment of Loan'!D8</f>
        <v>743.98</v>
      </c>
      <c r="F19" s="60">
        <f>'Plan for Repayment of Loan'!E8</f>
        <v>743.98</v>
      </c>
      <c r="G19" s="60">
        <f>'Plan for Repayment of Loan'!F8</f>
        <v>743.98</v>
      </c>
      <c r="H19" s="60">
        <f>'Plan for Repayment of Loan'!G8</f>
        <v>743.98</v>
      </c>
      <c r="I19" s="60">
        <f>'Plan for Repayment of Loan'!H8</f>
        <v>743.98</v>
      </c>
      <c r="J19" s="60">
        <f>'Plan for Repayment of Loan'!I8</f>
        <v>743.98</v>
      </c>
      <c r="K19" s="60">
        <f>'Plan for Repayment of Loan'!J8</f>
        <v>743.98</v>
      </c>
      <c r="L19" s="60">
        <f>'Plan for Repayment of Loan'!K8</f>
        <v>743.98</v>
      </c>
      <c r="M19" s="60">
        <f>'Plan for Repayment of Loan'!L8</f>
        <v>743.98</v>
      </c>
      <c r="N19" s="60">
        <f>'Plan for Repayment of Loan'!M8</f>
        <v>743.98</v>
      </c>
      <c r="O19" s="60">
        <f>'Plan for Repayment of Loan'!N8</f>
        <v>743.98</v>
      </c>
      <c r="P19" s="60">
        <f>'Plan for Repayment of Loan'!O8</f>
        <v>743.98</v>
      </c>
      <c r="Q19" s="60">
        <f>'Plan for Repayment of Loan'!P8</f>
        <v>743.98</v>
      </c>
      <c r="R19" s="60">
        <f>'Plan for Repayment of Loan'!Q8</f>
        <v>743.98</v>
      </c>
      <c r="S19" s="60">
        <f>'Plan for Repayment of Loan'!R8</f>
        <v>743.98</v>
      </c>
      <c r="T19" s="60">
        <f>'Plan for Repayment of Loan'!S8</f>
        <v>743.98</v>
      </c>
      <c r="U19" s="60">
        <f>'Plan for Repayment of Loan'!T8</f>
        <v>743.98</v>
      </c>
      <c r="V19" s="60">
        <f>'Plan for Repayment of Loan'!U8</f>
        <v>743.98</v>
      </c>
      <c r="W19" s="60">
        <f>'Plan for Repayment of Loan'!V8</f>
        <v>743.98</v>
      </c>
      <c r="X19" s="60">
        <f>'Plan for Repayment of Loan'!W8</f>
        <v>743.98</v>
      </c>
      <c r="Y19" s="60">
        <f>'Plan for Repayment of Loan'!X8</f>
        <v>0</v>
      </c>
      <c r="Z19" s="60">
        <f>'Plan for Repayment of Loan'!Y8</f>
        <v>0</v>
      </c>
      <c r="AA19" s="60">
        <f>'Plan for Repayment of Loan'!Z8</f>
        <v>0</v>
      </c>
      <c r="AB19" s="60">
        <f>'Plan for Repayment of Loan'!AA8</f>
        <v>0</v>
      </c>
      <c r="AC19" s="60">
        <f>'Plan for Repayment of Loan'!AB8</f>
        <v>0</v>
      </c>
      <c r="AD19" s="60">
        <f>'Plan for Repayment of Loan'!AC8</f>
        <v>0</v>
      </c>
      <c r="AE19" s="60">
        <f>'Plan for Repayment of Loan'!AD8</f>
        <v>0</v>
      </c>
      <c r="AF19" s="60">
        <f>'Plan for Repayment of Loan'!AE8</f>
        <v>0</v>
      </c>
      <c r="AG19" s="60">
        <f>'Plan for Repayment of Loan'!AF8</f>
        <v>0</v>
      </c>
      <c r="AH19" s="60">
        <f>'Plan for Repayment of Loan'!AG8</f>
        <v>0</v>
      </c>
    </row>
    <row r="20" spans="1:34" ht="12.75" customHeight="1">
      <c r="A20" s="36"/>
      <c r="B20" s="34" t="s">
        <v>104</v>
      </c>
      <c r="C20" s="127"/>
      <c r="D20" s="60">
        <f t="shared" si="5"/>
        <v>0</v>
      </c>
      <c r="E20" s="60">
        <f>'Plan for Repayment of Loan'!D15</f>
        <v>0</v>
      </c>
      <c r="F20" s="60">
        <f>'Plan for Repayment of Loan'!E15</f>
        <v>0</v>
      </c>
      <c r="G20" s="60">
        <f>'Plan for Repayment of Loan'!F15</f>
        <v>0</v>
      </c>
      <c r="H20" s="60">
        <f>'Plan for Repayment of Loan'!G15</f>
        <v>0</v>
      </c>
      <c r="I20" s="60">
        <f>'Plan for Repayment of Loan'!H15</f>
        <v>0</v>
      </c>
      <c r="J20" s="60">
        <f>'Plan for Repayment of Loan'!I15</f>
        <v>0</v>
      </c>
      <c r="K20" s="60">
        <f>'Plan for Repayment of Loan'!J15</f>
        <v>0</v>
      </c>
      <c r="L20" s="60">
        <f>'Plan for Repayment of Loan'!K15</f>
        <v>0</v>
      </c>
      <c r="M20" s="60">
        <f>'Plan for Repayment of Loan'!L15</f>
        <v>0</v>
      </c>
      <c r="N20" s="60">
        <f>'Plan for Repayment of Loan'!M15</f>
        <v>0</v>
      </c>
      <c r="O20" s="60">
        <f>'Plan for Repayment of Loan'!N15</f>
        <v>0</v>
      </c>
      <c r="P20" s="60">
        <f>'Plan for Repayment of Loan'!O15</f>
        <v>0</v>
      </c>
      <c r="Q20" s="60">
        <f>'Plan for Repayment of Loan'!P15</f>
        <v>0</v>
      </c>
      <c r="R20" s="60">
        <f>'Plan for Repayment of Loan'!Q15</f>
        <v>0</v>
      </c>
      <c r="S20" s="60">
        <f>'Plan for Repayment of Loan'!R15</f>
        <v>0</v>
      </c>
      <c r="T20" s="60">
        <f>'Plan for Repayment of Loan'!S15</f>
        <v>0</v>
      </c>
      <c r="U20" s="60">
        <f>'Plan for Repayment of Loan'!T15</f>
        <v>0</v>
      </c>
      <c r="V20" s="60">
        <f>'Plan for Repayment of Loan'!U15</f>
        <v>0</v>
      </c>
      <c r="W20" s="60">
        <f>'Plan for Repayment of Loan'!V15</f>
        <v>0</v>
      </c>
      <c r="X20" s="60">
        <f>'Plan for Repayment of Loan'!W15</f>
        <v>0</v>
      </c>
      <c r="Y20" s="60">
        <f>'Plan for Repayment of Loan'!X15</f>
        <v>0</v>
      </c>
      <c r="Z20" s="60">
        <f>'Plan for Repayment of Loan'!Y15</f>
        <v>0</v>
      </c>
      <c r="AA20" s="60">
        <f>'Plan for Repayment of Loan'!Z15</f>
        <v>0</v>
      </c>
      <c r="AB20" s="60">
        <f>'Plan for Repayment of Loan'!AA15</f>
        <v>0</v>
      </c>
      <c r="AC20" s="60">
        <f>'Plan for Repayment of Loan'!AB15</f>
        <v>0</v>
      </c>
      <c r="AD20" s="60">
        <f>'Plan for Repayment of Loan'!AC15</f>
        <v>0</v>
      </c>
      <c r="AE20" s="60">
        <f>'Plan for Repayment of Loan'!AD15</f>
        <v>0</v>
      </c>
      <c r="AF20" s="60">
        <f>'Plan for Repayment of Loan'!AE15</f>
        <v>0</v>
      </c>
      <c r="AG20" s="60">
        <f>'Plan for Repayment of Loan'!AF15</f>
        <v>0</v>
      </c>
      <c r="AH20" s="60">
        <f>'Plan for Repayment of Loan'!AG15</f>
        <v>0</v>
      </c>
    </row>
    <row r="21" spans="1:34" ht="12.75" customHeight="1">
      <c r="A21" s="36">
        <v>2.8</v>
      </c>
      <c r="B21" s="34" t="s">
        <v>109</v>
      </c>
      <c r="C21" s="128"/>
      <c r="D21" s="60">
        <f aca="true" t="shared" si="8" ref="D21:D32">SUM(E21:AH21)</f>
        <v>1719.9</v>
      </c>
      <c r="E21" s="60">
        <f>'Repayment of Principal'!E23</f>
        <v>245.7</v>
      </c>
      <c r="F21" s="60">
        <f>'Repayment of Principal'!F23</f>
        <v>245.7</v>
      </c>
      <c r="G21" s="60">
        <f>'Repayment of Principal'!G23</f>
        <v>245.7</v>
      </c>
      <c r="H21" s="60">
        <f>'Repayment of Principal'!H23</f>
        <v>245.7</v>
      </c>
      <c r="I21" s="60">
        <f>'Repayment of Principal'!I23</f>
        <v>245.7</v>
      </c>
      <c r="J21" s="60">
        <f>'Repayment of Principal'!J23</f>
        <v>245.7</v>
      </c>
      <c r="K21" s="60">
        <f>'Repayment of Principal'!K23</f>
        <v>245.7</v>
      </c>
      <c r="L21" s="60">
        <f>'Repayment of Principal'!L23</f>
        <v>0</v>
      </c>
      <c r="M21" s="60">
        <f>'Repayment of Principal'!M23</f>
        <v>0</v>
      </c>
      <c r="N21" s="60">
        <f>'Repayment of Principal'!N23</f>
        <v>0</v>
      </c>
      <c r="O21" s="60">
        <f>'Repayment of Principal'!O23</f>
        <v>0</v>
      </c>
      <c r="P21" s="60">
        <f>'Repayment of Principal'!P23</f>
        <v>0</v>
      </c>
      <c r="Q21" s="60">
        <f>'Repayment of Principal'!Q23</f>
        <v>0</v>
      </c>
      <c r="R21" s="60">
        <f>'Repayment of Principal'!R23</f>
        <v>0</v>
      </c>
      <c r="S21" s="60">
        <f>'Repayment of Principal'!S23</f>
        <v>0</v>
      </c>
      <c r="T21" s="60">
        <f>'Repayment of Principal'!T23</f>
        <v>0</v>
      </c>
      <c r="U21" s="60">
        <f>'Repayment of Principal'!U23</f>
        <v>0</v>
      </c>
      <c r="V21" s="60">
        <f>'Repayment of Principal'!V23</f>
        <v>0</v>
      </c>
      <c r="W21" s="60">
        <f>'Repayment of Principal'!W23</f>
        <v>0</v>
      </c>
      <c r="X21" s="60">
        <f>'Repayment of Principal'!X23</f>
        <v>0</v>
      </c>
      <c r="Y21" s="60">
        <f>'Repayment of Principal'!Y23</f>
        <v>0</v>
      </c>
      <c r="Z21" s="60">
        <f>'Repayment of Principal'!Z23</f>
        <v>0</v>
      </c>
      <c r="AA21" s="60">
        <f>'Repayment of Principal'!AA23</f>
        <v>0</v>
      </c>
      <c r="AB21" s="60">
        <f>'Repayment of Principal'!AB23</f>
        <v>0</v>
      </c>
      <c r="AC21" s="60">
        <f>'Repayment of Principal'!AC23</f>
        <v>0</v>
      </c>
      <c r="AD21" s="60">
        <f>'Repayment of Principal'!AD23</f>
        <v>0</v>
      </c>
      <c r="AE21" s="60">
        <f>'Repayment of Principal'!AE23</f>
        <v>0</v>
      </c>
      <c r="AF21" s="60">
        <f>'Repayment of Principal'!AF23</f>
        <v>0</v>
      </c>
      <c r="AG21" s="60">
        <f>'Repayment of Principal'!AG23</f>
        <v>0</v>
      </c>
      <c r="AH21" s="60">
        <f>'Repayment of Principal'!AH23</f>
        <v>0</v>
      </c>
    </row>
    <row r="22" spans="1:34" ht="12.75" customHeight="1">
      <c r="A22" s="36">
        <v>3</v>
      </c>
      <c r="B22" s="34" t="s">
        <v>110</v>
      </c>
      <c r="C22" s="129">
        <f>E22/E7</f>
        <v>0.0624</v>
      </c>
      <c r="D22" s="60">
        <f t="shared" si="8"/>
        <v>3128.1</v>
      </c>
      <c r="E22" s="60">
        <f>SUM(E23:E25)</f>
        <v>104.27</v>
      </c>
      <c r="F22" s="60">
        <f aca="true" t="shared" si="9" ref="F22:AH22">SUM(F23:F25)</f>
        <v>104.27</v>
      </c>
      <c r="G22" s="60">
        <f t="shared" si="9"/>
        <v>104.27</v>
      </c>
      <c r="H22" s="60">
        <f t="shared" si="9"/>
        <v>104.27</v>
      </c>
      <c r="I22" s="60">
        <f t="shared" si="9"/>
        <v>104.27</v>
      </c>
      <c r="J22" s="60">
        <f t="shared" si="9"/>
        <v>104.27</v>
      </c>
      <c r="K22" s="60">
        <f t="shared" si="9"/>
        <v>104.27</v>
      </c>
      <c r="L22" s="60">
        <f t="shared" si="9"/>
        <v>104.27</v>
      </c>
      <c r="M22" s="60">
        <f t="shared" si="9"/>
        <v>104.27</v>
      </c>
      <c r="N22" s="60">
        <f t="shared" si="9"/>
        <v>104.27</v>
      </c>
      <c r="O22" s="60">
        <f t="shared" si="9"/>
        <v>104.27</v>
      </c>
      <c r="P22" s="60">
        <f t="shared" si="9"/>
        <v>104.27</v>
      </c>
      <c r="Q22" s="60">
        <f t="shared" si="9"/>
        <v>104.27</v>
      </c>
      <c r="R22" s="60">
        <f t="shared" si="9"/>
        <v>104.27</v>
      </c>
      <c r="S22" s="60">
        <f t="shared" si="9"/>
        <v>104.27</v>
      </c>
      <c r="T22" s="60">
        <f t="shared" si="9"/>
        <v>104.27</v>
      </c>
      <c r="U22" s="60">
        <f t="shared" si="9"/>
        <v>104.27</v>
      </c>
      <c r="V22" s="60">
        <f t="shared" si="9"/>
        <v>104.27</v>
      </c>
      <c r="W22" s="60">
        <f t="shared" si="9"/>
        <v>104.27</v>
      </c>
      <c r="X22" s="60">
        <f t="shared" si="9"/>
        <v>104.27</v>
      </c>
      <c r="Y22" s="60">
        <f t="shared" si="9"/>
        <v>104.27</v>
      </c>
      <c r="Z22" s="60">
        <f t="shared" si="9"/>
        <v>104.27</v>
      </c>
      <c r="AA22" s="60">
        <f t="shared" si="9"/>
        <v>104.27</v>
      </c>
      <c r="AB22" s="60">
        <f t="shared" si="9"/>
        <v>104.27</v>
      </c>
      <c r="AC22" s="60">
        <f t="shared" si="9"/>
        <v>104.27</v>
      </c>
      <c r="AD22" s="60">
        <f t="shared" si="9"/>
        <v>104.27</v>
      </c>
      <c r="AE22" s="60">
        <f t="shared" si="9"/>
        <v>104.27</v>
      </c>
      <c r="AF22" s="60">
        <f t="shared" si="9"/>
        <v>104.27</v>
      </c>
      <c r="AG22" s="60">
        <f t="shared" si="9"/>
        <v>104.27</v>
      </c>
      <c r="AH22" s="60">
        <f t="shared" si="9"/>
        <v>104.27</v>
      </c>
    </row>
    <row r="23" spans="1:34" ht="12.75" customHeight="1">
      <c r="A23" s="36">
        <v>3.1</v>
      </c>
      <c r="B23" s="34" t="s">
        <v>111</v>
      </c>
      <c r="C23" s="68">
        <v>0.06</v>
      </c>
      <c r="D23" s="60">
        <f t="shared" si="8"/>
        <v>3007.8</v>
      </c>
      <c r="E23" s="63">
        <f>E7*$C23</f>
        <v>100.26</v>
      </c>
      <c r="F23" s="63">
        <f>F7*$C23</f>
        <v>100.26</v>
      </c>
      <c r="G23" s="63">
        <f aca="true" t="shared" si="10" ref="G23:AH23">G7*$C23</f>
        <v>100.26</v>
      </c>
      <c r="H23" s="63">
        <f t="shared" si="10"/>
        <v>100.26</v>
      </c>
      <c r="I23" s="63">
        <f t="shared" si="10"/>
        <v>100.26</v>
      </c>
      <c r="J23" s="63">
        <f t="shared" si="10"/>
        <v>100.26</v>
      </c>
      <c r="K23" s="63">
        <f t="shared" si="10"/>
        <v>100.26</v>
      </c>
      <c r="L23" s="63">
        <f t="shared" si="10"/>
        <v>100.26</v>
      </c>
      <c r="M23" s="63">
        <f t="shared" si="10"/>
        <v>100.26</v>
      </c>
      <c r="N23" s="63">
        <f t="shared" si="10"/>
        <v>100.26</v>
      </c>
      <c r="O23" s="63">
        <f t="shared" si="10"/>
        <v>100.26</v>
      </c>
      <c r="P23" s="63">
        <f t="shared" si="10"/>
        <v>100.26</v>
      </c>
      <c r="Q23" s="63">
        <f t="shared" si="10"/>
        <v>100.26</v>
      </c>
      <c r="R23" s="63">
        <f t="shared" si="10"/>
        <v>100.26</v>
      </c>
      <c r="S23" s="63">
        <f t="shared" si="10"/>
        <v>100.26</v>
      </c>
      <c r="T23" s="63">
        <f t="shared" si="10"/>
        <v>100.26</v>
      </c>
      <c r="U23" s="63">
        <f t="shared" si="10"/>
        <v>100.26</v>
      </c>
      <c r="V23" s="63">
        <f t="shared" si="10"/>
        <v>100.26</v>
      </c>
      <c r="W23" s="63">
        <f t="shared" si="10"/>
        <v>100.26</v>
      </c>
      <c r="X23" s="63">
        <f t="shared" si="10"/>
        <v>100.26</v>
      </c>
      <c r="Y23" s="63">
        <f t="shared" si="10"/>
        <v>100.26</v>
      </c>
      <c r="Z23" s="63">
        <f t="shared" si="10"/>
        <v>100.26</v>
      </c>
      <c r="AA23" s="63">
        <f t="shared" si="10"/>
        <v>100.26</v>
      </c>
      <c r="AB23" s="63">
        <f t="shared" si="10"/>
        <v>100.26</v>
      </c>
      <c r="AC23" s="63">
        <f t="shared" si="10"/>
        <v>100.26</v>
      </c>
      <c r="AD23" s="63">
        <f t="shared" si="10"/>
        <v>100.26</v>
      </c>
      <c r="AE23" s="63">
        <f t="shared" si="10"/>
        <v>100.26</v>
      </c>
      <c r="AF23" s="63">
        <f t="shared" si="10"/>
        <v>100.26</v>
      </c>
      <c r="AG23" s="63">
        <f t="shared" si="10"/>
        <v>100.26</v>
      </c>
      <c r="AH23" s="63">
        <f t="shared" si="10"/>
        <v>100.26</v>
      </c>
    </row>
    <row r="24" spans="1:34" ht="12.75" customHeight="1">
      <c r="A24" s="36">
        <v>3.2</v>
      </c>
      <c r="B24" s="34" t="s">
        <v>112</v>
      </c>
      <c r="C24" s="68">
        <v>0.03</v>
      </c>
      <c r="D24" s="60">
        <f t="shared" si="8"/>
        <v>90.3</v>
      </c>
      <c r="E24" s="63">
        <f>E23*$C24</f>
        <v>3.01</v>
      </c>
      <c r="F24" s="63">
        <f aca="true" t="shared" si="11" ref="F24:AH24">F23*$C24</f>
        <v>3.01</v>
      </c>
      <c r="G24" s="63">
        <f t="shared" si="11"/>
        <v>3.01</v>
      </c>
      <c r="H24" s="63">
        <f t="shared" si="11"/>
        <v>3.01</v>
      </c>
      <c r="I24" s="63">
        <f t="shared" si="11"/>
        <v>3.01</v>
      </c>
      <c r="J24" s="63">
        <f t="shared" si="11"/>
        <v>3.01</v>
      </c>
      <c r="K24" s="63">
        <f t="shared" si="11"/>
        <v>3.01</v>
      </c>
      <c r="L24" s="63">
        <f t="shared" si="11"/>
        <v>3.01</v>
      </c>
      <c r="M24" s="63">
        <f t="shared" si="11"/>
        <v>3.01</v>
      </c>
      <c r="N24" s="63">
        <f t="shared" si="11"/>
        <v>3.01</v>
      </c>
      <c r="O24" s="63">
        <f t="shared" si="11"/>
        <v>3.01</v>
      </c>
      <c r="P24" s="63">
        <f t="shared" si="11"/>
        <v>3.01</v>
      </c>
      <c r="Q24" s="63">
        <f t="shared" si="11"/>
        <v>3.01</v>
      </c>
      <c r="R24" s="63">
        <f t="shared" si="11"/>
        <v>3.01</v>
      </c>
      <c r="S24" s="63">
        <f t="shared" si="11"/>
        <v>3.01</v>
      </c>
      <c r="T24" s="63">
        <f t="shared" si="11"/>
        <v>3.01</v>
      </c>
      <c r="U24" s="63">
        <f t="shared" si="11"/>
        <v>3.01</v>
      </c>
      <c r="V24" s="63">
        <f t="shared" si="11"/>
        <v>3.01</v>
      </c>
      <c r="W24" s="63">
        <f t="shared" si="11"/>
        <v>3.01</v>
      </c>
      <c r="X24" s="63">
        <f t="shared" si="11"/>
        <v>3.01</v>
      </c>
      <c r="Y24" s="63">
        <f t="shared" si="11"/>
        <v>3.01</v>
      </c>
      <c r="Z24" s="63">
        <f t="shared" si="11"/>
        <v>3.01</v>
      </c>
      <c r="AA24" s="63">
        <f t="shared" si="11"/>
        <v>3.01</v>
      </c>
      <c r="AB24" s="63">
        <f t="shared" si="11"/>
        <v>3.01</v>
      </c>
      <c r="AC24" s="63">
        <f t="shared" si="11"/>
        <v>3.01</v>
      </c>
      <c r="AD24" s="63">
        <f t="shared" si="11"/>
        <v>3.01</v>
      </c>
      <c r="AE24" s="63">
        <f t="shared" si="11"/>
        <v>3.01</v>
      </c>
      <c r="AF24" s="63">
        <f t="shared" si="11"/>
        <v>3.01</v>
      </c>
      <c r="AG24" s="63">
        <f t="shared" si="11"/>
        <v>3.01</v>
      </c>
      <c r="AH24" s="63">
        <f t="shared" si="11"/>
        <v>3.01</v>
      </c>
    </row>
    <row r="25" spans="1:34" ht="12.75" customHeight="1">
      <c r="A25" s="36">
        <v>3.3</v>
      </c>
      <c r="B25" s="34" t="s">
        <v>113</v>
      </c>
      <c r="C25" s="68">
        <v>0.01</v>
      </c>
      <c r="D25" s="60">
        <f t="shared" si="8"/>
        <v>30</v>
      </c>
      <c r="E25" s="63">
        <f>E23*$C25</f>
        <v>1</v>
      </c>
      <c r="F25" s="63">
        <f aca="true" t="shared" si="12" ref="F25:AH25">F23*$C25</f>
        <v>1</v>
      </c>
      <c r="G25" s="63">
        <f t="shared" si="12"/>
        <v>1</v>
      </c>
      <c r="H25" s="63">
        <f t="shared" si="12"/>
        <v>1</v>
      </c>
      <c r="I25" s="63">
        <f t="shared" si="12"/>
        <v>1</v>
      </c>
      <c r="J25" s="63">
        <f t="shared" si="12"/>
        <v>1</v>
      </c>
      <c r="K25" s="63">
        <f t="shared" si="12"/>
        <v>1</v>
      </c>
      <c r="L25" s="63">
        <f t="shared" si="12"/>
        <v>1</v>
      </c>
      <c r="M25" s="63">
        <f t="shared" si="12"/>
        <v>1</v>
      </c>
      <c r="N25" s="63">
        <f t="shared" si="12"/>
        <v>1</v>
      </c>
      <c r="O25" s="63">
        <f t="shared" si="12"/>
        <v>1</v>
      </c>
      <c r="P25" s="63">
        <f t="shared" si="12"/>
        <v>1</v>
      </c>
      <c r="Q25" s="63">
        <f t="shared" si="12"/>
        <v>1</v>
      </c>
      <c r="R25" s="63">
        <f t="shared" si="12"/>
        <v>1</v>
      </c>
      <c r="S25" s="63">
        <f t="shared" si="12"/>
        <v>1</v>
      </c>
      <c r="T25" s="63">
        <f t="shared" si="12"/>
        <v>1</v>
      </c>
      <c r="U25" s="63">
        <f t="shared" si="12"/>
        <v>1</v>
      </c>
      <c r="V25" s="63">
        <f t="shared" si="12"/>
        <v>1</v>
      </c>
      <c r="W25" s="63">
        <f t="shared" si="12"/>
        <v>1</v>
      </c>
      <c r="X25" s="63">
        <f t="shared" si="12"/>
        <v>1</v>
      </c>
      <c r="Y25" s="63">
        <f t="shared" si="12"/>
        <v>1</v>
      </c>
      <c r="Z25" s="63">
        <f t="shared" si="12"/>
        <v>1</v>
      </c>
      <c r="AA25" s="63">
        <f t="shared" si="12"/>
        <v>1</v>
      </c>
      <c r="AB25" s="63">
        <f t="shared" si="12"/>
        <v>1</v>
      </c>
      <c r="AC25" s="63">
        <f t="shared" si="12"/>
        <v>1</v>
      </c>
      <c r="AD25" s="63">
        <f t="shared" si="12"/>
        <v>1</v>
      </c>
      <c r="AE25" s="63">
        <f t="shared" si="12"/>
        <v>1</v>
      </c>
      <c r="AF25" s="63">
        <f t="shared" si="12"/>
        <v>1</v>
      </c>
      <c r="AG25" s="63">
        <f t="shared" si="12"/>
        <v>1</v>
      </c>
      <c r="AH25" s="63">
        <f t="shared" si="12"/>
        <v>1</v>
      </c>
    </row>
    <row r="26" spans="1:34" ht="12.75" customHeight="1">
      <c r="A26" s="36">
        <v>4</v>
      </c>
      <c r="B26" s="34" t="s">
        <v>114</v>
      </c>
      <c r="C26" s="128"/>
      <c r="D26" s="60">
        <f t="shared" si="8"/>
        <v>22003.6</v>
      </c>
      <c r="E26" s="60">
        <f>E7-E8-E22</f>
        <v>287.09</v>
      </c>
      <c r="F26" s="60">
        <f aca="true" t="shared" si="13" ref="F26:AH26">F7-F8-F22</f>
        <v>287.09</v>
      </c>
      <c r="G26" s="60">
        <f t="shared" si="13"/>
        <v>287.09</v>
      </c>
      <c r="H26" s="60">
        <f t="shared" si="13"/>
        <v>287.09</v>
      </c>
      <c r="I26" s="60">
        <f t="shared" si="13"/>
        <v>287.09</v>
      </c>
      <c r="J26" s="60">
        <f t="shared" si="13"/>
        <v>287.09</v>
      </c>
      <c r="K26" s="60">
        <f t="shared" si="13"/>
        <v>287.09</v>
      </c>
      <c r="L26" s="60">
        <f t="shared" si="13"/>
        <v>532.79</v>
      </c>
      <c r="M26" s="60">
        <f t="shared" si="13"/>
        <v>532.79</v>
      </c>
      <c r="N26" s="60">
        <f t="shared" si="13"/>
        <v>532.79</v>
      </c>
      <c r="O26" s="60">
        <f t="shared" si="13"/>
        <v>547.79</v>
      </c>
      <c r="P26" s="60">
        <f t="shared" si="13"/>
        <v>547.79</v>
      </c>
      <c r="Q26" s="60">
        <f t="shared" si="13"/>
        <v>547.79</v>
      </c>
      <c r="R26" s="60">
        <f t="shared" si="13"/>
        <v>547.79</v>
      </c>
      <c r="S26" s="60">
        <f t="shared" si="13"/>
        <v>547.79</v>
      </c>
      <c r="T26" s="60">
        <f t="shared" si="13"/>
        <v>547.79</v>
      </c>
      <c r="U26" s="60">
        <f t="shared" si="13"/>
        <v>547.79</v>
      </c>
      <c r="V26" s="60">
        <f t="shared" si="13"/>
        <v>547.79</v>
      </c>
      <c r="W26" s="60">
        <f t="shared" si="13"/>
        <v>547.79</v>
      </c>
      <c r="X26" s="60">
        <f t="shared" si="13"/>
        <v>547.79</v>
      </c>
      <c r="Y26" s="60">
        <f t="shared" si="13"/>
        <v>1291.77</v>
      </c>
      <c r="Z26" s="60">
        <f t="shared" si="13"/>
        <v>1291.77</v>
      </c>
      <c r="AA26" s="60">
        <f t="shared" si="13"/>
        <v>1291.77</v>
      </c>
      <c r="AB26" s="60">
        <f t="shared" si="13"/>
        <v>1291.77</v>
      </c>
      <c r="AC26" s="60">
        <f t="shared" si="13"/>
        <v>1291.77</v>
      </c>
      <c r="AD26" s="60">
        <f t="shared" si="13"/>
        <v>1291.77</v>
      </c>
      <c r="AE26" s="60">
        <f t="shared" si="13"/>
        <v>1291.77</v>
      </c>
      <c r="AF26" s="60">
        <f t="shared" si="13"/>
        <v>1291.77</v>
      </c>
      <c r="AG26" s="60">
        <f t="shared" si="13"/>
        <v>1291.77</v>
      </c>
      <c r="AH26" s="60">
        <f t="shared" si="13"/>
        <v>1291.77</v>
      </c>
    </row>
    <row r="27" spans="1:34" ht="12.75" customHeight="1">
      <c r="A27" s="36">
        <v>5</v>
      </c>
      <c r="B27" s="35" t="s">
        <v>115</v>
      </c>
      <c r="C27" s="68">
        <v>0.33</v>
      </c>
      <c r="D27" s="60">
        <f t="shared" si="8"/>
        <v>6968.3</v>
      </c>
      <c r="E27" s="63"/>
      <c r="F27" s="63"/>
      <c r="G27" s="63">
        <f>G26*0.15</f>
        <v>43.06</v>
      </c>
      <c r="H27" s="63">
        <f>H26*0.15</f>
        <v>43.06</v>
      </c>
      <c r="I27" s="63">
        <f>I26*$C27</f>
        <v>94.74</v>
      </c>
      <c r="J27" s="63">
        <f>J26*$C27</f>
        <v>94.74</v>
      </c>
      <c r="K27" s="63">
        <f>K26*$C27</f>
        <v>94.74</v>
      </c>
      <c r="L27" s="63">
        <f aca="true" t="shared" si="14" ref="L27:T27">L26*$C27</f>
        <v>175.82</v>
      </c>
      <c r="M27" s="63">
        <f t="shared" si="14"/>
        <v>175.82</v>
      </c>
      <c r="N27" s="63">
        <f t="shared" si="14"/>
        <v>175.82</v>
      </c>
      <c r="O27" s="63">
        <f t="shared" si="14"/>
        <v>180.77</v>
      </c>
      <c r="P27" s="63">
        <f t="shared" si="14"/>
        <v>180.77</v>
      </c>
      <c r="Q27" s="63">
        <f t="shared" si="14"/>
        <v>180.77</v>
      </c>
      <c r="R27" s="63">
        <f t="shared" si="14"/>
        <v>180.77</v>
      </c>
      <c r="S27" s="63">
        <f t="shared" si="14"/>
        <v>180.77</v>
      </c>
      <c r="T27" s="63">
        <f t="shared" si="14"/>
        <v>180.77</v>
      </c>
      <c r="U27" s="63">
        <f aca="true" t="shared" si="15" ref="U27:AH27">U26*$C27</f>
        <v>180.77</v>
      </c>
      <c r="V27" s="63">
        <f t="shared" si="15"/>
        <v>180.77</v>
      </c>
      <c r="W27" s="63">
        <f t="shared" si="15"/>
        <v>180.77</v>
      </c>
      <c r="X27" s="63">
        <f t="shared" si="15"/>
        <v>180.77</v>
      </c>
      <c r="Y27" s="63">
        <f t="shared" si="15"/>
        <v>426.28</v>
      </c>
      <c r="Z27" s="63">
        <f t="shared" si="15"/>
        <v>426.28</v>
      </c>
      <c r="AA27" s="63">
        <f t="shared" si="15"/>
        <v>426.28</v>
      </c>
      <c r="AB27" s="63">
        <f t="shared" si="15"/>
        <v>426.28</v>
      </c>
      <c r="AC27" s="63">
        <f t="shared" si="15"/>
        <v>426.28</v>
      </c>
      <c r="AD27" s="63">
        <f t="shared" si="15"/>
        <v>426.28</v>
      </c>
      <c r="AE27" s="63">
        <f t="shared" si="15"/>
        <v>426.28</v>
      </c>
      <c r="AF27" s="63">
        <f t="shared" si="15"/>
        <v>426.28</v>
      </c>
      <c r="AG27" s="63">
        <f t="shared" si="15"/>
        <v>426.28</v>
      </c>
      <c r="AH27" s="63">
        <f t="shared" si="15"/>
        <v>426.28</v>
      </c>
    </row>
    <row r="28" spans="1:34" ht="12.75" customHeight="1">
      <c r="A28" s="36">
        <v>6</v>
      </c>
      <c r="B28" s="34" t="s">
        <v>116</v>
      </c>
      <c r="C28" s="18"/>
      <c r="D28" s="60">
        <f t="shared" si="8"/>
        <v>15035.3</v>
      </c>
      <c r="E28" s="60">
        <f aca="true" t="shared" si="16" ref="E28:AH28">E26-E27</f>
        <v>287.09</v>
      </c>
      <c r="F28" s="60">
        <f t="shared" si="16"/>
        <v>287.09</v>
      </c>
      <c r="G28" s="60">
        <f t="shared" si="16"/>
        <v>244.03</v>
      </c>
      <c r="H28" s="60">
        <f t="shared" si="16"/>
        <v>244.03</v>
      </c>
      <c r="I28" s="60">
        <f t="shared" si="16"/>
        <v>192.35</v>
      </c>
      <c r="J28" s="60">
        <f t="shared" si="16"/>
        <v>192.35</v>
      </c>
      <c r="K28" s="60">
        <f t="shared" si="16"/>
        <v>192.35</v>
      </c>
      <c r="L28" s="60">
        <f t="shared" si="16"/>
        <v>356.97</v>
      </c>
      <c r="M28" s="60">
        <f t="shared" si="16"/>
        <v>356.97</v>
      </c>
      <c r="N28" s="60">
        <f t="shared" si="16"/>
        <v>356.97</v>
      </c>
      <c r="O28" s="60">
        <f t="shared" si="16"/>
        <v>367.02</v>
      </c>
      <c r="P28" s="60">
        <f t="shared" si="16"/>
        <v>367.02</v>
      </c>
      <c r="Q28" s="60">
        <f t="shared" si="16"/>
        <v>367.02</v>
      </c>
      <c r="R28" s="60">
        <f t="shared" si="16"/>
        <v>367.02</v>
      </c>
      <c r="S28" s="60">
        <f t="shared" si="16"/>
        <v>367.02</v>
      </c>
      <c r="T28" s="60">
        <f t="shared" si="16"/>
        <v>367.02</v>
      </c>
      <c r="U28" s="60">
        <f t="shared" si="16"/>
        <v>367.02</v>
      </c>
      <c r="V28" s="60">
        <f t="shared" si="16"/>
        <v>367.02</v>
      </c>
      <c r="W28" s="60">
        <f t="shared" si="16"/>
        <v>367.02</v>
      </c>
      <c r="X28" s="60">
        <f t="shared" si="16"/>
        <v>367.02</v>
      </c>
      <c r="Y28" s="60">
        <f t="shared" si="16"/>
        <v>865.49</v>
      </c>
      <c r="Z28" s="60">
        <f t="shared" si="16"/>
        <v>865.49</v>
      </c>
      <c r="AA28" s="60">
        <f t="shared" si="16"/>
        <v>865.49</v>
      </c>
      <c r="AB28" s="60">
        <f t="shared" si="16"/>
        <v>865.49</v>
      </c>
      <c r="AC28" s="60">
        <f t="shared" si="16"/>
        <v>865.49</v>
      </c>
      <c r="AD28" s="60">
        <f t="shared" si="16"/>
        <v>865.49</v>
      </c>
      <c r="AE28" s="60">
        <f t="shared" si="16"/>
        <v>865.49</v>
      </c>
      <c r="AF28" s="60">
        <f t="shared" si="16"/>
        <v>865.49</v>
      </c>
      <c r="AG28" s="60">
        <f t="shared" si="16"/>
        <v>865.49</v>
      </c>
      <c r="AH28" s="60">
        <f t="shared" si="16"/>
        <v>865.49</v>
      </c>
    </row>
    <row r="29" spans="1:34" ht="12.75" customHeight="1">
      <c r="A29" s="36">
        <v>6.1</v>
      </c>
      <c r="B29" s="34" t="s">
        <v>117</v>
      </c>
      <c r="C29" s="68">
        <v>0.1</v>
      </c>
      <c r="D29" s="60">
        <f t="shared" si="8"/>
        <v>1503.54</v>
      </c>
      <c r="E29" s="63">
        <f>E28*$C29</f>
        <v>28.71</v>
      </c>
      <c r="F29" s="63">
        <f aca="true" t="shared" si="17" ref="F29:AH29">F28*$C29</f>
        <v>28.71</v>
      </c>
      <c r="G29" s="63">
        <f t="shared" si="17"/>
        <v>24.4</v>
      </c>
      <c r="H29" s="63">
        <f t="shared" si="17"/>
        <v>24.4</v>
      </c>
      <c r="I29" s="63">
        <f t="shared" si="17"/>
        <v>19.24</v>
      </c>
      <c r="J29" s="63">
        <f t="shared" si="17"/>
        <v>19.24</v>
      </c>
      <c r="K29" s="63">
        <f t="shared" si="17"/>
        <v>19.24</v>
      </c>
      <c r="L29" s="63">
        <f t="shared" si="17"/>
        <v>35.7</v>
      </c>
      <c r="M29" s="63">
        <f t="shared" si="17"/>
        <v>35.7</v>
      </c>
      <c r="N29" s="63">
        <f t="shared" si="17"/>
        <v>35.7</v>
      </c>
      <c r="O29" s="63">
        <f t="shared" si="17"/>
        <v>36.7</v>
      </c>
      <c r="P29" s="63">
        <f t="shared" si="17"/>
        <v>36.7</v>
      </c>
      <c r="Q29" s="63">
        <f t="shared" si="17"/>
        <v>36.7</v>
      </c>
      <c r="R29" s="63">
        <f t="shared" si="17"/>
        <v>36.7</v>
      </c>
      <c r="S29" s="63">
        <f t="shared" si="17"/>
        <v>36.7</v>
      </c>
      <c r="T29" s="63">
        <f t="shared" si="17"/>
        <v>36.7</v>
      </c>
      <c r="U29" s="63">
        <f t="shared" si="17"/>
        <v>36.7</v>
      </c>
      <c r="V29" s="63">
        <f t="shared" si="17"/>
        <v>36.7</v>
      </c>
      <c r="W29" s="63">
        <f t="shared" si="17"/>
        <v>36.7</v>
      </c>
      <c r="X29" s="63">
        <f t="shared" si="17"/>
        <v>36.7</v>
      </c>
      <c r="Y29" s="63">
        <f t="shared" si="17"/>
        <v>86.55</v>
      </c>
      <c r="Z29" s="63">
        <f t="shared" si="17"/>
        <v>86.55</v>
      </c>
      <c r="AA29" s="63">
        <f t="shared" si="17"/>
        <v>86.55</v>
      </c>
      <c r="AB29" s="63">
        <f t="shared" si="17"/>
        <v>86.55</v>
      </c>
      <c r="AC29" s="63">
        <f t="shared" si="17"/>
        <v>86.55</v>
      </c>
      <c r="AD29" s="63">
        <f t="shared" si="17"/>
        <v>86.55</v>
      </c>
      <c r="AE29" s="63">
        <f t="shared" si="17"/>
        <v>86.55</v>
      </c>
      <c r="AF29" s="63">
        <f t="shared" si="17"/>
        <v>86.55</v>
      </c>
      <c r="AG29" s="63">
        <f t="shared" si="17"/>
        <v>86.55</v>
      </c>
      <c r="AH29" s="63">
        <f t="shared" si="17"/>
        <v>86.55</v>
      </c>
    </row>
    <row r="30" spans="1:34" ht="12.75" customHeight="1">
      <c r="A30" s="36">
        <v>6.2</v>
      </c>
      <c r="B30" s="34" t="s">
        <v>118</v>
      </c>
      <c r="C30" s="68">
        <v>0.05</v>
      </c>
      <c r="D30" s="60">
        <f t="shared" si="8"/>
        <v>751.71</v>
      </c>
      <c r="E30" s="63">
        <f>E28*$C30</f>
        <v>14.35</v>
      </c>
      <c r="F30" s="63">
        <f aca="true" t="shared" si="18" ref="F30:AH30">F28*$C30</f>
        <v>14.35</v>
      </c>
      <c r="G30" s="63">
        <f t="shared" si="18"/>
        <v>12.2</v>
      </c>
      <c r="H30" s="63">
        <f>H28*$C30</f>
        <v>12.2</v>
      </c>
      <c r="I30" s="63">
        <f t="shared" si="18"/>
        <v>9.62</v>
      </c>
      <c r="J30" s="63">
        <f t="shared" si="18"/>
        <v>9.62</v>
      </c>
      <c r="K30" s="63">
        <f t="shared" si="18"/>
        <v>9.62</v>
      </c>
      <c r="L30" s="63">
        <f t="shared" si="18"/>
        <v>17.85</v>
      </c>
      <c r="M30" s="63">
        <f t="shared" si="18"/>
        <v>17.85</v>
      </c>
      <c r="N30" s="63">
        <f t="shared" si="18"/>
        <v>17.85</v>
      </c>
      <c r="O30" s="63">
        <f t="shared" si="18"/>
        <v>18.35</v>
      </c>
      <c r="P30" s="63">
        <f t="shared" si="18"/>
        <v>18.35</v>
      </c>
      <c r="Q30" s="63">
        <f t="shared" si="18"/>
        <v>18.35</v>
      </c>
      <c r="R30" s="63">
        <f t="shared" si="18"/>
        <v>18.35</v>
      </c>
      <c r="S30" s="63">
        <f t="shared" si="18"/>
        <v>18.35</v>
      </c>
      <c r="T30" s="63">
        <f t="shared" si="18"/>
        <v>18.35</v>
      </c>
      <c r="U30" s="63">
        <f t="shared" si="18"/>
        <v>18.35</v>
      </c>
      <c r="V30" s="63">
        <f t="shared" si="18"/>
        <v>18.35</v>
      </c>
      <c r="W30" s="63">
        <f t="shared" si="18"/>
        <v>18.35</v>
      </c>
      <c r="X30" s="63">
        <f t="shared" si="18"/>
        <v>18.35</v>
      </c>
      <c r="Y30" s="63">
        <f t="shared" si="18"/>
        <v>43.27</v>
      </c>
      <c r="Z30" s="63">
        <f t="shared" si="18"/>
        <v>43.27</v>
      </c>
      <c r="AA30" s="63">
        <f t="shared" si="18"/>
        <v>43.27</v>
      </c>
      <c r="AB30" s="63">
        <f t="shared" si="18"/>
        <v>43.27</v>
      </c>
      <c r="AC30" s="63">
        <f t="shared" si="18"/>
        <v>43.27</v>
      </c>
      <c r="AD30" s="63">
        <f t="shared" si="18"/>
        <v>43.27</v>
      </c>
      <c r="AE30" s="63">
        <f t="shared" si="18"/>
        <v>43.27</v>
      </c>
      <c r="AF30" s="63">
        <f t="shared" si="18"/>
        <v>43.27</v>
      </c>
      <c r="AG30" s="63">
        <f t="shared" si="18"/>
        <v>43.27</v>
      </c>
      <c r="AH30" s="63">
        <f t="shared" si="18"/>
        <v>43.27</v>
      </c>
    </row>
    <row r="31" spans="1:34" ht="12.75" customHeight="1">
      <c r="A31" s="36">
        <v>6.3</v>
      </c>
      <c r="B31" s="34" t="s">
        <v>119</v>
      </c>
      <c r="C31" s="68">
        <v>0</v>
      </c>
      <c r="D31" s="60">
        <f t="shared" si="8"/>
        <v>0</v>
      </c>
      <c r="E31" s="63">
        <f>IF(E5&lt;&gt;0,'Investment Plan'!$C24*'Cost and Income'!$C31,0)</f>
        <v>0</v>
      </c>
      <c r="F31" s="63">
        <f>IF(F5&lt;&gt;0,'Investment Plan'!$C24*'Cost and Income'!$C31,0)</f>
        <v>0</v>
      </c>
      <c r="G31" s="63">
        <f>IF(G5&lt;&gt;0,'Investment Plan'!$C24*'Cost and Income'!$C31,0)</f>
        <v>0</v>
      </c>
      <c r="H31" s="63">
        <f>IF(H5&lt;&gt;0,'Investment Plan'!$C24*'Cost and Income'!$C31,0)</f>
        <v>0</v>
      </c>
      <c r="I31" s="63">
        <f>IF(I5&lt;&gt;0,'Investment Plan'!$C24*'Cost and Income'!$C31,0)</f>
        <v>0</v>
      </c>
      <c r="J31" s="63">
        <f>IF(J5&lt;&gt;0,'Investment Plan'!$C24*'Cost and Income'!$C31,0)</f>
        <v>0</v>
      </c>
      <c r="K31" s="63">
        <f>IF(K5&lt;&gt;0,'Investment Plan'!$C24*'Cost and Income'!$C31,0)</f>
        <v>0</v>
      </c>
      <c r="L31" s="63">
        <f>IF(L5&lt;&gt;0,'Investment Plan'!$C24*'Cost and Income'!$C31,0)</f>
        <v>0</v>
      </c>
      <c r="M31" s="63">
        <f>IF(M5&lt;&gt;0,'Investment Plan'!$C24*'Cost and Income'!$C31,0)</f>
        <v>0</v>
      </c>
      <c r="N31" s="63">
        <f>IF(N5&lt;&gt;0,'Investment Plan'!$C24*'Cost and Income'!$C31,0)</f>
        <v>0</v>
      </c>
      <c r="O31" s="63">
        <f>IF(O5&lt;&gt;0,'Investment Plan'!$C24*'Cost and Income'!$C31,0)</f>
        <v>0</v>
      </c>
      <c r="P31" s="63">
        <f>IF(P5&lt;&gt;0,'Investment Plan'!$C24*'Cost and Income'!$C31,0)</f>
        <v>0</v>
      </c>
      <c r="Q31" s="63">
        <f>IF(Q5&lt;&gt;0,'Investment Plan'!$C24*'Cost and Income'!$C31,0)</f>
        <v>0</v>
      </c>
      <c r="R31" s="63">
        <f>IF(R5&lt;&gt;0,'Investment Plan'!$C24*'Cost and Income'!$C31,0)</f>
        <v>0</v>
      </c>
      <c r="S31" s="63">
        <f>IF(S5&lt;&gt;0,'Investment Plan'!$C24*'Cost and Income'!$C31,0)</f>
        <v>0</v>
      </c>
      <c r="T31" s="63">
        <f>IF(T5&lt;&gt;0,'Investment Plan'!$C24*'Cost and Income'!$C31,0)</f>
        <v>0</v>
      </c>
      <c r="U31" s="63">
        <f>IF(U5&lt;&gt;0,'Investment Plan'!$C24*'Cost and Income'!$C31,0)</f>
        <v>0</v>
      </c>
      <c r="V31" s="63">
        <f>IF(V5&lt;&gt;0,'Investment Plan'!$C24*'Cost and Income'!$C31,0)</f>
        <v>0</v>
      </c>
      <c r="W31" s="63">
        <f>IF(W5&lt;&gt;0,'Investment Plan'!$C24*'Cost and Income'!$C31,0)</f>
        <v>0</v>
      </c>
      <c r="X31" s="63">
        <f>IF(X5&lt;&gt;0,'Investment Plan'!$C24*'Cost and Income'!$C31,0)</f>
        <v>0</v>
      </c>
      <c r="Y31" s="63">
        <f>IF(Y5&lt;&gt;0,'Investment Plan'!$C24*'Cost and Income'!$C31,0)</f>
        <v>0</v>
      </c>
      <c r="Z31" s="63">
        <f>IF(Z5&lt;&gt;0,'Investment Plan'!$C24*'Cost and Income'!$C31,0)</f>
        <v>0</v>
      </c>
      <c r="AA31" s="63">
        <f>IF(AA5&lt;&gt;0,'Investment Plan'!$C24*'Cost and Income'!$C31,0)</f>
        <v>0</v>
      </c>
      <c r="AB31" s="63">
        <f>IF(AB5&lt;&gt;0,'Investment Plan'!$C24*'Cost and Income'!$C31,0)</f>
        <v>0</v>
      </c>
      <c r="AC31" s="63">
        <f>IF(AC5&lt;&gt;0,'Investment Plan'!$C24*'Cost and Income'!$C31,0)</f>
        <v>0</v>
      </c>
      <c r="AD31" s="63">
        <f>IF(AD5&lt;&gt;0,'Investment Plan'!$C24*'Cost and Income'!$C31,0)</f>
        <v>0</v>
      </c>
      <c r="AE31" s="63">
        <f>IF(AE5&lt;&gt;0,'Investment Plan'!$C24*'Cost and Income'!$C31,0)</f>
        <v>0</v>
      </c>
      <c r="AF31" s="63">
        <f>IF(AF5&lt;&gt;0,'Investment Plan'!$C24*'Cost and Income'!$C31,0)</f>
        <v>0</v>
      </c>
      <c r="AG31" s="63">
        <f>IF(AG5&lt;&gt;0,'Investment Plan'!$C24*'Cost and Income'!$C31,0)</f>
        <v>0</v>
      </c>
      <c r="AH31" s="63">
        <f>IF(AH5&lt;&gt;0,'Investment Plan'!$C24*'Cost and Income'!$C31,0)</f>
        <v>0</v>
      </c>
    </row>
    <row r="32" spans="1:34" ht="12.75" customHeight="1">
      <c r="A32" s="36">
        <v>6.4</v>
      </c>
      <c r="B32" s="10" t="s">
        <v>368</v>
      </c>
      <c r="C32" s="36"/>
      <c r="D32" s="60">
        <f t="shared" si="8"/>
        <v>12780.05</v>
      </c>
      <c r="E32" s="60">
        <f aca="true" t="shared" si="19" ref="E32:J32">E28-E29-E30-E31</f>
        <v>244.03</v>
      </c>
      <c r="F32" s="60">
        <f t="shared" si="19"/>
        <v>244.03</v>
      </c>
      <c r="G32" s="60">
        <f t="shared" si="19"/>
        <v>207.43</v>
      </c>
      <c r="H32" s="60">
        <f t="shared" si="19"/>
        <v>207.43</v>
      </c>
      <c r="I32" s="60">
        <f t="shared" si="19"/>
        <v>163.49</v>
      </c>
      <c r="J32" s="60">
        <f t="shared" si="19"/>
        <v>163.49</v>
      </c>
      <c r="K32" s="60">
        <f aca="true" t="shared" si="20" ref="K32:AH32">K28-K29-K30-K31</f>
        <v>163.49</v>
      </c>
      <c r="L32" s="60">
        <f t="shared" si="20"/>
        <v>303.42</v>
      </c>
      <c r="M32" s="60">
        <f t="shared" si="20"/>
        <v>303.42</v>
      </c>
      <c r="N32" s="60">
        <f t="shared" si="20"/>
        <v>303.42</v>
      </c>
      <c r="O32" s="60">
        <f t="shared" si="20"/>
        <v>311.97</v>
      </c>
      <c r="P32" s="60">
        <f t="shared" si="20"/>
        <v>311.97</v>
      </c>
      <c r="Q32" s="60">
        <f t="shared" si="20"/>
        <v>311.97</v>
      </c>
      <c r="R32" s="60">
        <f t="shared" si="20"/>
        <v>311.97</v>
      </c>
      <c r="S32" s="60">
        <f t="shared" si="20"/>
        <v>311.97</v>
      </c>
      <c r="T32" s="60">
        <f t="shared" si="20"/>
        <v>311.97</v>
      </c>
      <c r="U32" s="60">
        <f t="shared" si="20"/>
        <v>311.97</v>
      </c>
      <c r="V32" s="60">
        <f t="shared" si="20"/>
        <v>311.97</v>
      </c>
      <c r="W32" s="60">
        <f t="shared" si="20"/>
        <v>311.97</v>
      </c>
      <c r="X32" s="60">
        <f t="shared" si="20"/>
        <v>311.97</v>
      </c>
      <c r="Y32" s="60">
        <f t="shared" si="20"/>
        <v>735.67</v>
      </c>
      <c r="Z32" s="60">
        <f t="shared" si="20"/>
        <v>735.67</v>
      </c>
      <c r="AA32" s="60">
        <f t="shared" si="20"/>
        <v>735.67</v>
      </c>
      <c r="AB32" s="60">
        <f t="shared" si="20"/>
        <v>735.67</v>
      </c>
      <c r="AC32" s="60">
        <f t="shared" si="20"/>
        <v>735.67</v>
      </c>
      <c r="AD32" s="60">
        <f t="shared" si="20"/>
        <v>735.67</v>
      </c>
      <c r="AE32" s="60">
        <f t="shared" si="20"/>
        <v>735.67</v>
      </c>
      <c r="AF32" s="60">
        <f t="shared" si="20"/>
        <v>735.67</v>
      </c>
      <c r="AG32" s="60">
        <f t="shared" si="20"/>
        <v>735.67</v>
      </c>
      <c r="AH32" s="60">
        <f t="shared" si="20"/>
        <v>735.67</v>
      </c>
    </row>
    <row r="33" spans="1:34" ht="12.75" customHeight="1">
      <c r="A33" s="18"/>
      <c r="B33" s="10" t="s">
        <v>120</v>
      </c>
      <c r="C33" s="36"/>
      <c r="D33" s="60">
        <f>MAX(E33:AH33)</f>
        <v>12780.05</v>
      </c>
      <c r="E33" s="60">
        <f>IF(E5&lt;&gt;0,E32,0)</f>
        <v>244.03</v>
      </c>
      <c r="F33" s="60">
        <f>IF(F5&lt;&gt;0,E33+F32,0)</f>
        <v>488.06</v>
      </c>
      <c r="G33" s="60">
        <f aca="true" t="shared" si="21" ref="G33:N33">IF(G5&lt;&gt;0,F33+G32,0)</f>
        <v>695.49</v>
      </c>
      <c r="H33" s="60">
        <f t="shared" si="21"/>
        <v>902.92</v>
      </c>
      <c r="I33" s="60">
        <f>IF(I5&lt;&gt;0,H33+I32,0)</f>
        <v>1066.41</v>
      </c>
      <c r="J33" s="60">
        <f t="shared" si="21"/>
        <v>1229.9</v>
      </c>
      <c r="K33" s="60">
        <f t="shared" si="21"/>
        <v>1393.39</v>
      </c>
      <c r="L33" s="60">
        <f t="shared" si="21"/>
        <v>1696.81</v>
      </c>
      <c r="M33" s="60">
        <f t="shared" si="21"/>
        <v>2000.23</v>
      </c>
      <c r="N33" s="60">
        <f t="shared" si="21"/>
        <v>2303.65</v>
      </c>
      <c r="O33" s="60">
        <f aca="true" t="shared" si="22" ref="O33:AH33">IF(O5&lt;&gt;0,N33+O32,0)</f>
        <v>2615.62</v>
      </c>
      <c r="P33" s="60">
        <f t="shared" si="22"/>
        <v>2927.59</v>
      </c>
      <c r="Q33" s="60">
        <f t="shared" si="22"/>
        <v>3239.56</v>
      </c>
      <c r="R33" s="60">
        <f t="shared" si="22"/>
        <v>3551.53</v>
      </c>
      <c r="S33" s="60">
        <f t="shared" si="22"/>
        <v>3863.5</v>
      </c>
      <c r="T33" s="60">
        <f t="shared" si="22"/>
        <v>4175.47</v>
      </c>
      <c r="U33" s="60">
        <f t="shared" si="22"/>
        <v>4487.44</v>
      </c>
      <c r="V33" s="60">
        <f t="shared" si="22"/>
        <v>4799.41</v>
      </c>
      <c r="W33" s="60">
        <f t="shared" si="22"/>
        <v>5111.38</v>
      </c>
      <c r="X33" s="60">
        <f t="shared" si="22"/>
        <v>5423.35</v>
      </c>
      <c r="Y33" s="60">
        <f t="shared" si="22"/>
        <v>6159.02</v>
      </c>
      <c r="Z33" s="60">
        <f t="shared" si="22"/>
        <v>6894.69</v>
      </c>
      <c r="AA33" s="60">
        <f t="shared" si="22"/>
        <v>7630.36</v>
      </c>
      <c r="AB33" s="60">
        <f t="shared" si="22"/>
        <v>8366.03</v>
      </c>
      <c r="AC33" s="60">
        <f t="shared" si="22"/>
        <v>9101.7</v>
      </c>
      <c r="AD33" s="60">
        <f t="shared" si="22"/>
        <v>9837.37</v>
      </c>
      <c r="AE33" s="60">
        <f t="shared" si="22"/>
        <v>10573.04</v>
      </c>
      <c r="AF33" s="60">
        <f t="shared" si="22"/>
        <v>11308.71</v>
      </c>
      <c r="AG33" s="60">
        <f t="shared" si="22"/>
        <v>12044.38</v>
      </c>
      <c r="AH33" s="60">
        <f t="shared" si="22"/>
        <v>12780.05</v>
      </c>
    </row>
    <row r="34" spans="1:34" ht="12.75" customHeight="1">
      <c r="A34" s="36"/>
      <c r="B34" s="36"/>
      <c r="C34" s="3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ht="12.75" customHeight="1">
      <c r="A35" s="171" t="s">
        <v>68</v>
      </c>
      <c r="B35" s="12" t="s">
        <v>121</v>
      </c>
      <c r="C35" s="15"/>
      <c r="D35" s="59">
        <f>SUM(E35:AH35)/MAX(E5:AH5)</f>
        <v>0.0441</v>
      </c>
      <c r="E35" s="59">
        <f>(E8-E18)/'Cash Flow'!$G9</f>
        <v>0.07</v>
      </c>
      <c r="F35" s="59">
        <f>(F8-F18)/'Cash Flow'!$G9</f>
        <v>0.07</v>
      </c>
      <c r="G35" s="59">
        <f>(G8-G18)/'Cash Flow'!$G9</f>
        <v>0.07</v>
      </c>
      <c r="H35" s="59">
        <f>(H8-H18)/'Cash Flow'!$G9</f>
        <v>0.07</v>
      </c>
      <c r="I35" s="59">
        <f>(I8-I18)/'Cash Flow'!$G9</f>
        <v>0.07</v>
      </c>
      <c r="J35" s="59">
        <f>(J8-J18)/'Cash Flow'!$G9</f>
        <v>0.07</v>
      </c>
      <c r="K35" s="59">
        <f>(K8-K18)/'Cash Flow'!$G9</f>
        <v>0.07</v>
      </c>
      <c r="L35" s="59">
        <f>(L8-L18)/'Cash Flow'!$G9</f>
        <v>0.0379</v>
      </c>
      <c r="M35" s="59">
        <f>(M8-M18)/'Cash Flow'!$G9</f>
        <v>0.0379</v>
      </c>
      <c r="N35" s="59">
        <f>(N8-N18)/'Cash Flow'!$G9</f>
        <v>0.0379</v>
      </c>
      <c r="O35" s="59">
        <f>(O8-O18)/'Cash Flow'!$G9</f>
        <v>0.0359</v>
      </c>
      <c r="P35" s="59">
        <f>(P8-P18)/'Cash Flow'!$G9</f>
        <v>0.0359</v>
      </c>
      <c r="Q35" s="59">
        <f>(Q8-Q18)/'Cash Flow'!$G9</f>
        <v>0.0359</v>
      </c>
      <c r="R35" s="59">
        <f>(R8-R18)/'Cash Flow'!$G9</f>
        <v>0.0359</v>
      </c>
      <c r="S35" s="59">
        <f>(S8-S18)/'Cash Flow'!$G9</f>
        <v>0.0359</v>
      </c>
      <c r="T35" s="59">
        <f>(T8-T18)/'Cash Flow'!$G9</f>
        <v>0.0359</v>
      </c>
      <c r="U35" s="59">
        <f>(U8-U18)/'Cash Flow'!$G9</f>
        <v>0.0359</v>
      </c>
      <c r="V35" s="59">
        <f>(V8-V18)/'Cash Flow'!$G9</f>
        <v>0.0359</v>
      </c>
      <c r="W35" s="59">
        <f>(W8-W18)/'Cash Flow'!$G9</f>
        <v>0.0359</v>
      </c>
      <c r="X35" s="59">
        <f>(X8-X18)/'Cash Flow'!$G9</f>
        <v>0.0359</v>
      </c>
      <c r="Y35" s="59">
        <f>(Y8-Y18)/'Cash Flow'!$G9</f>
        <v>0.0359</v>
      </c>
      <c r="Z35" s="59">
        <f>(Z8-Z18)/'Cash Flow'!$G9</f>
        <v>0.0359</v>
      </c>
      <c r="AA35" s="59">
        <f>(AA8-AA18)/'Cash Flow'!$G9</f>
        <v>0.0359</v>
      </c>
      <c r="AB35" s="59">
        <f>(AB8-AB18)/'Cash Flow'!$G9</f>
        <v>0.0359</v>
      </c>
      <c r="AC35" s="59">
        <f>(AC8-AC18)/'Cash Flow'!$G9</f>
        <v>0.0359</v>
      </c>
      <c r="AD35" s="59">
        <f>(AD8-AD18)/'Cash Flow'!$G9</f>
        <v>0.0359</v>
      </c>
      <c r="AE35" s="59">
        <f>(AE8-AE18)/'Cash Flow'!$G9</f>
        <v>0.0359</v>
      </c>
      <c r="AF35" s="59">
        <f>(AF8-AF18)/'Cash Flow'!$G9</f>
        <v>0.0359</v>
      </c>
      <c r="AG35" s="59">
        <f>(AG8-AG18)/'Cash Flow'!$G9</f>
        <v>0.0359</v>
      </c>
      <c r="AH35" s="59">
        <f>(AH8-AH18)/'Cash Flow'!$G9</f>
        <v>0.0359</v>
      </c>
    </row>
    <row r="36" spans="1:34" ht="12.75" customHeight="1">
      <c r="A36" s="171"/>
      <c r="B36" s="12" t="s">
        <v>122</v>
      </c>
      <c r="C36" s="15"/>
      <c r="D36" s="59">
        <f>SUM(E36:AH36)/MAX(E5:AH5)</f>
        <v>0.1089</v>
      </c>
      <c r="E36" s="59">
        <f>E8/'Cash Flow'!$G9</f>
        <v>0.1673</v>
      </c>
      <c r="F36" s="59">
        <f>F8/'Cash Flow'!$G9</f>
        <v>0.1673</v>
      </c>
      <c r="G36" s="59">
        <f>G8/'Cash Flow'!$G9</f>
        <v>0.1673</v>
      </c>
      <c r="H36" s="59">
        <f>H8/'Cash Flow'!$G9</f>
        <v>0.1673</v>
      </c>
      <c r="I36" s="59">
        <f>I8/'Cash Flow'!$G9</f>
        <v>0.1673</v>
      </c>
      <c r="J36" s="59">
        <f>J8/'Cash Flow'!$G9</f>
        <v>0.1673</v>
      </c>
      <c r="K36" s="59">
        <f>K8/'Cash Flow'!$G9</f>
        <v>0.1673</v>
      </c>
      <c r="L36" s="59">
        <f>L8/'Cash Flow'!$G9</f>
        <v>0.1351</v>
      </c>
      <c r="M36" s="59">
        <f>M8/'Cash Flow'!$G9</f>
        <v>0.1351</v>
      </c>
      <c r="N36" s="59">
        <f>N8/'Cash Flow'!$G9</f>
        <v>0.1351</v>
      </c>
      <c r="O36" s="59">
        <f>O8/'Cash Flow'!$G9</f>
        <v>0.1332</v>
      </c>
      <c r="P36" s="59">
        <f>P8/'Cash Flow'!$G9</f>
        <v>0.1332</v>
      </c>
      <c r="Q36" s="59">
        <f>Q8/'Cash Flow'!$G9</f>
        <v>0.1332</v>
      </c>
      <c r="R36" s="59">
        <f>R8/'Cash Flow'!$G9</f>
        <v>0.1332</v>
      </c>
      <c r="S36" s="59">
        <f>S8/'Cash Flow'!$G9</f>
        <v>0.1332</v>
      </c>
      <c r="T36" s="59">
        <f>T8/'Cash Flow'!$G9</f>
        <v>0.1332</v>
      </c>
      <c r="U36" s="59">
        <f>U8/'Cash Flow'!$G9</f>
        <v>0.1332</v>
      </c>
      <c r="V36" s="59">
        <f>V8/'Cash Flow'!$G9</f>
        <v>0.1332</v>
      </c>
      <c r="W36" s="59">
        <f>W8/'Cash Flow'!$G9</f>
        <v>0.1332</v>
      </c>
      <c r="X36" s="59">
        <f>X8/'Cash Flow'!$G9</f>
        <v>0.1332</v>
      </c>
      <c r="Y36" s="59">
        <f>Y8/'Cash Flow'!$G9</f>
        <v>0.0359</v>
      </c>
      <c r="Z36" s="59">
        <f>Z8/'Cash Flow'!$G9</f>
        <v>0.0359</v>
      </c>
      <c r="AA36" s="59">
        <f>AA8/'Cash Flow'!$G9</f>
        <v>0.0359</v>
      </c>
      <c r="AB36" s="59">
        <f>AB8/'Cash Flow'!$G9</f>
        <v>0.0359</v>
      </c>
      <c r="AC36" s="59">
        <f>AC8/'Cash Flow'!$G9</f>
        <v>0.0359</v>
      </c>
      <c r="AD36" s="59">
        <f>AD8/'Cash Flow'!$G9</f>
        <v>0.0359</v>
      </c>
      <c r="AE36" s="59">
        <f>AE8/'Cash Flow'!$G9</f>
        <v>0.0359</v>
      </c>
      <c r="AF36" s="59">
        <f>AF8/'Cash Flow'!$G9</f>
        <v>0.0359</v>
      </c>
      <c r="AG36" s="59">
        <f>AG8/'Cash Flow'!$G9</f>
        <v>0.0359</v>
      </c>
      <c r="AH36" s="59">
        <f>AH8/'Cash Flow'!$G9</f>
        <v>0.0359</v>
      </c>
    </row>
    <row r="37" spans="1:34" ht="12.75" customHeight="1">
      <c r="A37" s="171"/>
      <c r="B37" s="13" t="s">
        <v>123</v>
      </c>
      <c r="C37" s="15"/>
      <c r="D37" s="129">
        <f>(D31+D32-'Repayment of Principal'!D22)/'Investment Plan'!C5/'Investment Plan'!$C24</f>
        <v>0.0632</v>
      </c>
      <c r="E37" s="129">
        <f>(E31+E32-'Repayment of Principal'!E22)/'Investment Plan'!$C24</f>
        <v>0.0362</v>
      </c>
      <c r="F37" s="129">
        <f>(F31+F32-'Repayment of Principal'!F22)/'Investment Plan'!$C24</f>
        <v>0.0362</v>
      </c>
      <c r="G37" s="129">
        <f>(G31+G32-'Repayment of Principal'!G22)/'Investment Plan'!$C24</f>
        <v>0.0308</v>
      </c>
      <c r="H37" s="129">
        <f>(H31+H32-'Repayment of Principal'!H22)/'Investment Plan'!$C24</f>
        <v>0.0308</v>
      </c>
      <c r="I37" s="129">
        <f>(I31+I32-'Repayment of Principal'!I22)/'Investment Plan'!$C24</f>
        <v>0.0243</v>
      </c>
      <c r="J37" s="129">
        <f>(J31+J32-'Repayment of Principal'!J22)/'Investment Plan'!$C24</f>
        <v>0.0243</v>
      </c>
      <c r="K37" s="129">
        <f>(K31+K32-'Repayment of Principal'!K22)/'Investment Plan'!$C24</f>
        <v>0.0243</v>
      </c>
      <c r="L37" s="129">
        <f>(L31+L32-'Repayment of Principal'!L22)/'Investment Plan'!$C24</f>
        <v>0.045</v>
      </c>
      <c r="M37" s="129">
        <f>(M31+M32-'Repayment of Principal'!M22)/'Investment Plan'!$C24</f>
        <v>0.045</v>
      </c>
      <c r="N37" s="129">
        <f>(N31+N32-'Repayment of Principal'!N22)/'Investment Plan'!$C24</f>
        <v>0.045</v>
      </c>
      <c r="O37" s="129">
        <f>(O31+O32-'Repayment of Principal'!O22)/'Investment Plan'!$C24</f>
        <v>0.0463</v>
      </c>
      <c r="P37" s="129">
        <f>(P31+P32-'Repayment of Principal'!P22)/'Investment Plan'!$C24</f>
        <v>0.0463</v>
      </c>
      <c r="Q37" s="129">
        <f>(Q31+Q32-'Repayment of Principal'!Q22)/'Investment Plan'!$C24</f>
        <v>0.0463</v>
      </c>
      <c r="R37" s="129">
        <f>(R31+R32-'Repayment of Principal'!R22)/'Investment Plan'!$C24</f>
        <v>0.0463</v>
      </c>
      <c r="S37" s="129">
        <f>(S31+S32-'Repayment of Principal'!S22)/'Investment Plan'!$C24</f>
        <v>0.0463</v>
      </c>
      <c r="T37" s="129">
        <f>(T31+T32-'Repayment of Principal'!T22)/'Investment Plan'!$C24</f>
        <v>0.0463</v>
      </c>
      <c r="U37" s="129">
        <f>(U31+U32-'Repayment of Principal'!U22)/'Investment Plan'!$C24</f>
        <v>0.0463</v>
      </c>
      <c r="V37" s="129">
        <f>(V31+V32-'Repayment of Principal'!V22)/'Investment Plan'!$C24</f>
        <v>0.0463</v>
      </c>
      <c r="W37" s="129">
        <f>(W31+W32-'Repayment of Principal'!W22)/'Investment Plan'!$C24</f>
        <v>0.0463</v>
      </c>
      <c r="X37" s="129">
        <f>(X31+X32-'Repayment of Principal'!X22)/'Investment Plan'!$C24</f>
        <v>0.0463</v>
      </c>
      <c r="Y37" s="129">
        <f>(Y31+Y32-'Repayment of Principal'!Y22)/'Investment Plan'!$C24</f>
        <v>0.1091</v>
      </c>
      <c r="Z37" s="129">
        <f>(Z31+Z32-'Repayment of Principal'!Z22)/'Investment Plan'!$C24</f>
        <v>0.1091</v>
      </c>
      <c r="AA37" s="129">
        <f>(AA31+AA32-'Repayment of Principal'!AA22)/'Investment Plan'!$C24</f>
        <v>0.1091</v>
      </c>
      <c r="AB37" s="129">
        <f>(AB31+AB32-'Repayment of Principal'!AB22)/'Investment Plan'!$C24</f>
        <v>0.1091</v>
      </c>
      <c r="AC37" s="129">
        <f>(AC31+AC32-'Repayment of Principal'!AC22)/'Investment Plan'!$C24</f>
        <v>0.1091</v>
      </c>
      <c r="AD37" s="129">
        <f>(AD31+AD32-'Repayment of Principal'!AD22)/'Investment Plan'!$C24</f>
        <v>0.1091</v>
      </c>
      <c r="AE37" s="129">
        <f>(AE31+AE32-'Repayment of Principal'!AE22)/'Investment Plan'!$C24</f>
        <v>0.1091</v>
      </c>
      <c r="AF37" s="129">
        <f>(AF31+AF32-'Repayment of Principal'!AF22)/'Investment Plan'!$C24</f>
        <v>0.1091</v>
      </c>
      <c r="AG37" s="129">
        <f>(AG31+AG32-'Repayment of Principal'!AG22)/'Investment Plan'!$C24</f>
        <v>0.1091</v>
      </c>
      <c r="AH37" s="129">
        <f>(AH31+AH32-'Repayment of Principal'!AH22)/'Investment Plan'!$C24</f>
        <v>0.1091</v>
      </c>
    </row>
    <row r="38" spans="1:34" ht="12.75" customHeight="1">
      <c r="A38" s="171"/>
      <c r="B38" s="13" t="s">
        <v>124</v>
      </c>
      <c r="C38" s="18"/>
      <c r="D38" s="129">
        <f>(D21+D27+D28)/'Investment Plan'!C5/'Investment Plan'!$C18</f>
        <v>0.0531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42" spans="4:13" ht="12.75" customHeight="1"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5:34" ht="12.75" customHeight="1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</sheetData>
  <sheetProtection/>
  <mergeCells count="9">
    <mergeCell ref="A2:B2"/>
    <mergeCell ref="B4:B5"/>
    <mergeCell ref="A4:A5"/>
    <mergeCell ref="A35:A38"/>
    <mergeCell ref="X4:AH4"/>
    <mergeCell ref="D4:D5"/>
    <mergeCell ref="C4:C5"/>
    <mergeCell ref="E4:L4"/>
    <mergeCell ref="M4:W4"/>
  </mergeCells>
  <printOptions horizont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perSize="9" scale="95" r:id="rId1"/>
  <headerFooter alignWithMargins="0">
    <oddFooter xml:space="preserve">&amp;C&amp;P+5 </oddFooter>
  </headerFooter>
  <colBreaks count="2" manualBreakCount="2">
    <brk id="12" max="65535" man="1"/>
    <brk id="23" max="65535" man="1"/>
  </colBreaks>
  <ignoredErrors>
    <ignoredError sqref="L28:AH28 J28:K28 E28:I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2:AG34"/>
  <sheetViews>
    <sheetView showGridLines="0" showZeros="0" zoomScale="90" zoomScaleNormal="90" zoomScalePageLayoutView="0" workbookViewId="0" topLeftCell="A1">
      <selection activeCell="F37" sqref="F37"/>
    </sheetView>
  </sheetViews>
  <sheetFormatPr defaultColWidth="8.75390625" defaultRowHeight="12.75" customHeight="1"/>
  <cols>
    <col min="1" max="1" width="5.75390625" style="51" customWidth="1"/>
    <col min="2" max="2" width="42.50390625" style="17" customWidth="1"/>
    <col min="3" max="3" width="10.75390625" style="51" customWidth="1"/>
    <col min="4" max="16384" width="8.75390625" style="51" customWidth="1"/>
  </cols>
  <sheetData>
    <row r="2" spans="1:30" ht="19.5" customHeight="1">
      <c r="A2" s="181" t="s">
        <v>369</v>
      </c>
      <c r="B2" s="181"/>
      <c r="C2" s="50" t="str">
        <f>Instruction!A16&amp;"-Plan for Repayment of Loan"</f>
        <v>Jinshizi Hydropower Station Finance Analysis-Plan for Repayment of Loan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 t="str">
        <f>C2</f>
        <v>Jinshizi Hydropower Station Finance Analysis-Plan for Repayment of Loan</v>
      </c>
      <c r="O2" s="50"/>
      <c r="P2" s="50"/>
      <c r="Q2" s="50"/>
      <c r="R2" s="50"/>
      <c r="S2" s="50"/>
      <c r="T2" s="50"/>
      <c r="X2" s="50"/>
      <c r="Y2" s="50"/>
      <c r="Z2" s="50"/>
      <c r="AA2" s="50"/>
      <c r="AB2" s="50"/>
      <c r="AC2" s="50"/>
      <c r="AD2" s="50"/>
    </row>
    <row r="4" spans="1:33" ht="12.75" customHeight="1">
      <c r="A4" s="172" t="s">
        <v>266</v>
      </c>
      <c r="B4" s="189" t="s">
        <v>267</v>
      </c>
      <c r="C4" s="172" t="s">
        <v>269</v>
      </c>
      <c r="D4" s="174" t="s">
        <v>271</v>
      </c>
      <c r="E4" s="175"/>
      <c r="F4" s="175"/>
      <c r="G4" s="175"/>
      <c r="H4" s="175"/>
      <c r="I4" s="175"/>
      <c r="J4" s="175"/>
      <c r="K4" s="175"/>
      <c r="L4" s="175"/>
      <c r="M4" s="17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 customHeight="1">
      <c r="A5" s="172"/>
      <c r="B5" s="190"/>
      <c r="C5" s="172"/>
      <c r="D5" s="18">
        <f>'Cash Flow'!G5</f>
        <v>1</v>
      </c>
      <c r="E5" s="18">
        <f>'Cash Flow'!H5</f>
        <v>2</v>
      </c>
      <c r="F5" s="18">
        <f>'Cash Flow'!I5</f>
        <v>3</v>
      </c>
      <c r="G5" s="18">
        <f>'Cash Flow'!J5</f>
        <v>4</v>
      </c>
      <c r="H5" s="18">
        <f>'Cash Flow'!K5</f>
        <v>5</v>
      </c>
      <c r="I5" s="18">
        <f>'Cash Flow'!L5</f>
        <v>6</v>
      </c>
      <c r="J5" s="18">
        <f>'Cash Flow'!M5</f>
        <v>7</v>
      </c>
      <c r="K5" s="18">
        <f>'Cash Flow'!N5</f>
        <v>8</v>
      </c>
      <c r="L5" s="18">
        <f>'Cash Flow'!O5</f>
        <v>9</v>
      </c>
      <c r="M5" s="18">
        <f>'Cash Flow'!P5</f>
        <v>10</v>
      </c>
      <c r="N5" s="18">
        <f>'Cash Flow'!Q5</f>
        <v>11</v>
      </c>
      <c r="O5" s="18">
        <f>'Cash Flow'!R5</f>
        <v>12</v>
      </c>
      <c r="P5" s="18">
        <f>'Cash Flow'!S5</f>
        <v>13</v>
      </c>
      <c r="Q5" s="18">
        <f>'Cash Flow'!T5</f>
        <v>14</v>
      </c>
      <c r="R5" s="18">
        <f>'Cash Flow'!U5</f>
        <v>15</v>
      </c>
      <c r="S5" s="18">
        <f>'Cash Flow'!V5</f>
        <v>16</v>
      </c>
      <c r="T5" s="18">
        <f>'Cash Flow'!W5</f>
        <v>17</v>
      </c>
      <c r="U5" s="18">
        <f>'Cash Flow'!X5</f>
        <v>18</v>
      </c>
      <c r="V5" s="18">
        <f>'Cash Flow'!Y5</f>
        <v>19</v>
      </c>
      <c r="W5" s="18">
        <f>'Cash Flow'!Z5</f>
        <v>20</v>
      </c>
      <c r="X5" s="18">
        <f>'Cash Flow'!AA5</f>
        <v>21</v>
      </c>
      <c r="Y5" s="18">
        <f>'Cash Flow'!AB5</f>
        <v>22</v>
      </c>
      <c r="Z5" s="18">
        <f>'Cash Flow'!AC5</f>
        <v>23</v>
      </c>
      <c r="AA5" s="18">
        <f>'Cash Flow'!AD5</f>
        <v>24</v>
      </c>
      <c r="AB5" s="18">
        <f>'Cash Flow'!AE5</f>
        <v>25</v>
      </c>
      <c r="AC5" s="18">
        <f>'Cash Flow'!AF5</f>
        <v>26</v>
      </c>
      <c r="AD5" s="18">
        <f>'Cash Flow'!AG5</f>
        <v>27</v>
      </c>
      <c r="AE5" s="18">
        <f>'Cash Flow'!AH5</f>
        <v>28</v>
      </c>
      <c r="AF5" s="18">
        <f>'Cash Flow'!AI5</f>
        <v>29</v>
      </c>
      <c r="AG5" s="18">
        <f>'Cash Flow'!AJ5</f>
        <v>30</v>
      </c>
    </row>
    <row r="6" spans="1:33" ht="12.75" customHeight="1">
      <c r="A6" s="189">
        <v>1</v>
      </c>
      <c r="B6" s="13" t="s">
        <v>370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 customHeight="1">
      <c r="A7" s="202"/>
      <c r="B7" s="13" t="s">
        <v>371</v>
      </c>
      <c r="C7" s="18"/>
      <c r="D7" s="18">
        <f>IF(D5&lt;='Investment Plan'!$C6,D5,0)</f>
        <v>1</v>
      </c>
      <c r="E7" s="18">
        <f>IF(E5&lt;='Investment Plan'!$C6,E5,0)</f>
        <v>2</v>
      </c>
      <c r="F7" s="18">
        <f>IF(F5&lt;='Investment Plan'!$C6,F5,0)</f>
        <v>3</v>
      </c>
      <c r="G7" s="18">
        <f>IF(G5&lt;='Investment Plan'!$C6,G5,0)</f>
        <v>4</v>
      </c>
      <c r="H7" s="18">
        <f>IF(H5&lt;='Investment Plan'!$C6,H5,0)</f>
        <v>5</v>
      </c>
      <c r="I7" s="18">
        <f>IF(I5&lt;='Investment Plan'!$C6,I5,0)</f>
        <v>6</v>
      </c>
      <c r="J7" s="18">
        <f>IF(J5&lt;='Investment Plan'!$C6,J5,0)</f>
        <v>7</v>
      </c>
      <c r="K7" s="18">
        <f>IF(K5&lt;='Investment Plan'!$C6,K5,0)</f>
        <v>8</v>
      </c>
      <c r="L7" s="18">
        <f>IF(L5&lt;='Investment Plan'!$C6,L5,0)</f>
        <v>9</v>
      </c>
      <c r="M7" s="18">
        <f>IF(M5&lt;='Investment Plan'!$C6,M5,0)</f>
        <v>10</v>
      </c>
      <c r="N7" s="18">
        <f>IF(N5&lt;='Investment Plan'!$C6,N5,0)</f>
        <v>11</v>
      </c>
      <c r="O7" s="18">
        <f>IF(O5&lt;='Investment Plan'!$C6,O5,0)</f>
        <v>12</v>
      </c>
      <c r="P7" s="18">
        <f>IF(P5&lt;='Investment Plan'!$C6,P5,0)</f>
        <v>13</v>
      </c>
      <c r="Q7" s="18">
        <f>IF(Q5&lt;='Investment Plan'!$C6,Q5,0)</f>
        <v>14</v>
      </c>
      <c r="R7" s="18">
        <f>IF(R5&lt;='Investment Plan'!$C6,R5,0)</f>
        <v>15</v>
      </c>
      <c r="S7" s="18">
        <f>IF(S5&lt;='Investment Plan'!$C6,S5,0)</f>
        <v>16</v>
      </c>
      <c r="T7" s="18">
        <f>IF(T5&lt;='Investment Plan'!$C6,T5,0)</f>
        <v>17</v>
      </c>
      <c r="U7" s="18">
        <f>IF(U5&lt;='Investment Plan'!$C6,U5,0)</f>
        <v>18</v>
      </c>
      <c r="V7" s="18">
        <f>IF(V5&lt;='Investment Plan'!$C6,V5,0)</f>
        <v>19</v>
      </c>
      <c r="W7" s="18">
        <f>IF(W5&lt;='Investment Plan'!$C6,W5,0)</f>
        <v>20</v>
      </c>
      <c r="X7" s="18">
        <f>IF(X5&lt;='Investment Plan'!$C6,X5,0)</f>
        <v>0</v>
      </c>
      <c r="Y7" s="18">
        <f>IF(Y5&lt;='Investment Plan'!$C6,Y5,0)</f>
        <v>0</v>
      </c>
      <c r="Z7" s="18">
        <f>IF(Z5&lt;='Investment Plan'!$C6,Z5,0)</f>
        <v>0</v>
      </c>
      <c r="AA7" s="18">
        <f>IF(AA5&lt;='Investment Plan'!$C6,AA5,0)</f>
        <v>0</v>
      </c>
      <c r="AB7" s="18">
        <f>IF(AB5&lt;='Investment Plan'!$C6,AB5,0)</f>
        <v>0</v>
      </c>
      <c r="AC7" s="18">
        <f>IF(AC5&lt;='Investment Plan'!$C6,AC5,0)</f>
        <v>0</v>
      </c>
      <c r="AD7" s="18">
        <f>IF(AD5&lt;='Investment Plan'!$C6,AD5,0)</f>
        <v>0</v>
      </c>
      <c r="AE7" s="18">
        <f>IF(AE5&lt;='Investment Plan'!$C6,AE5,0)</f>
        <v>0</v>
      </c>
      <c r="AF7" s="18">
        <f>IF(AF5&lt;='Investment Plan'!$C6,AF5,0)</f>
        <v>0</v>
      </c>
      <c r="AG7" s="18">
        <f>IF(AG5&lt;='Investment Plan'!$C6,AG5,0)</f>
        <v>0</v>
      </c>
    </row>
    <row r="8" spans="1:33" ht="12.75" customHeight="1">
      <c r="A8" s="202"/>
      <c r="B8" s="13" t="s">
        <v>372</v>
      </c>
      <c r="C8" s="60">
        <f>SUM(D8:AG8)</f>
        <v>14879.6</v>
      </c>
      <c r="D8" s="60">
        <f>IF(D7&gt;0,'Investment Plan'!$C32*(1-'Investment Plan'!$C8)*'Investment Plan'!$C9,0)</f>
        <v>743.98</v>
      </c>
      <c r="E8" s="60">
        <f>IF(E7&gt;0,'Investment Plan'!$C32*(1-'Investment Plan'!$C8)*'Investment Plan'!$C9,0)</f>
        <v>743.98</v>
      </c>
      <c r="F8" s="60">
        <f>IF(F7&gt;0,'Investment Plan'!$C32*(1-'Investment Plan'!$C8)*'Investment Plan'!$C9,0)</f>
        <v>743.98</v>
      </c>
      <c r="G8" s="60">
        <f>IF(G7&gt;0,'Investment Plan'!$C32*(1-'Investment Plan'!$C8)*'Investment Plan'!$C9,0)</f>
        <v>743.98</v>
      </c>
      <c r="H8" s="60">
        <f>IF(H7&gt;0,'Investment Plan'!$C32*(1-'Investment Plan'!$C8)*'Investment Plan'!$C9,0)</f>
        <v>743.98</v>
      </c>
      <c r="I8" s="60">
        <f>IF(I7&gt;0,'Investment Plan'!$C32*(1-'Investment Plan'!$C8)*'Investment Plan'!$C9,0)</f>
        <v>743.98</v>
      </c>
      <c r="J8" s="60">
        <f>IF(J7&gt;0,'Investment Plan'!$C32*(1-'Investment Plan'!$C8)*'Investment Plan'!$C9,0)</f>
        <v>743.98</v>
      </c>
      <c r="K8" s="60">
        <f>IF(K7&gt;0,'Investment Plan'!$C32*(1-'Investment Plan'!$C8)*'Investment Plan'!$C9,0)</f>
        <v>743.98</v>
      </c>
      <c r="L8" s="60">
        <f>IF(L7&gt;0,'Investment Plan'!$C32*(1-'Investment Plan'!$C8)*'Investment Plan'!$C9,0)</f>
        <v>743.98</v>
      </c>
      <c r="M8" s="60">
        <f>IF(M7&gt;0,'Investment Plan'!$C32*(1-'Investment Plan'!$C8)*'Investment Plan'!$C9,0)</f>
        <v>743.98</v>
      </c>
      <c r="N8" s="60">
        <f>IF(N7&gt;0,'Investment Plan'!$C32*(1-'Investment Plan'!$C8)*'Investment Plan'!$C9,0)</f>
        <v>743.98</v>
      </c>
      <c r="O8" s="60">
        <f>IF(O7&gt;0,'Investment Plan'!$C32*(1-'Investment Plan'!$C8)*'Investment Plan'!$C9,0)</f>
        <v>743.98</v>
      </c>
      <c r="P8" s="60">
        <f>IF(P7&gt;0,'Investment Plan'!$C32*(1-'Investment Plan'!$C8)*'Investment Plan'!$C9,0)</f>
        <v>743.98</v>
      </c>
      <c r="Q8" s="60">
        <f>IF(Q7&gt;0,'Investment Plan'!$C32*(1-'Investment Plan'!$C8)*'Investment Plan'!$C9,0)</f>
        <v>743.98</v>
      </c>
      <c r="R8" s="60">
        <f>IF(R7&gt;0,'Investment Plan'!$C32*(1-'Investment Plan'!$C8)*'Investment Plan'!$C9,0)</f>
        <v>743.98</v>
      </c>
      <c r="S8" s="60">
        <f>IF(S7&gt;0,'Investment Plan'!$C32*(1-'Investment Plan'!$C8)*'Investment Plan'!$C9,0)</f>
        <v>743.98</v>
      </c>
      <c r="T8" s="60">
        <f>IF(T7&gt;0,'Investment Plan'!$C32*(1-'Investment Plan'!$C8)*'Investment Plan'!$C9,0)</f>
        <v>743.98</v>
      </c>
      <c r="U8" s="60">
        <f>IF(U7&gt;0,'Investment Plan'!$C32*(1-'Investment Plan'!$C8)*'Investment Plan'!$C9,0)</f>
        <v>743.98</v>
      </c>
      <c r="V8" s="60">
        <f>IF(V7&gt;0,'Investment Plan'!$C32*(1-'Investment Plan'!$C8)*'Investment Plan'!$C9,0)</f>
        <v>743.98</v>
      </c>
      <c r="W8" s="60">
        <f>IF(W7&gt;0,'Investment Plan'!$C32*(1-'Investment Plan'!$C8)*'Investment Plan'!$C9,0)</f>
        <v>743.98</v>
      </c>
      <c r="X8" s="60">
        <f>IF(X7&gt;0,'Investment Plan'!$C32*(1-'Investment Plan'!$C8)*'Investment Plan'!$C9,0)</f>
        <v>0</v>
      </c>
      <c r="Y8" s="60">
        <f>IF(Y7&gt;0,'Investment Plan'!$C32*(1-'Investment Plan'!$C8)*'Investment Plan'!$C9,0)</f>
        <v>0</v>
      </c>
      <c r="Z8" s="60">
        <f>IF(Z7&gt;0,'Investment Plan'!$C32*(1-'Investment Plan'!$C8)*'Investment Plan'!$C9,0)</f>
        <v>0</v>
      </c>
      <c r="AA8" s="60">
        <f>IF(AA7&gt;0,'Investment Plan'!$C32*(1-'Investment Plan'!$C8)*'Investment Plan'!$C9,0)</f>
        <v>0</v>
      </c>
      <c r="AB8" s="60">
        <f>IF(AB7&gt;0,'Investment Plan'!$C32*(1-'Investment Plan'!$C8)*'Investment Plan'!$C9,0)</f>
        <v>0</v>
      </c>
      <c r="AC8" s="60">
        <f>IF(AC7&gt;0,'Investment Plan'!$C32*(1-'Investment Plan'!$C8)*'Investment Plan'!$C9,0)</f>
        <v>0</v>
      </c>
      <c r="AD8" s="60">
        <f>IF(AD7&gt;0,'Investment Plan'!$C32*(1-'Investment Plan'!$C8)*'Investment Plan'!$C9,0)</f>
        <v>0</v>
      </c>
      <c r="AE8" s="60">
        <f>IF(AE7&gt;0,'Investment Plan'!$C32*(1-'Investment Plan'!$C8)*'Investment Plan'!$C9,0)</f>
        <v>0</v>
      </c>
      <c r="AF8" s="60">
        <f>IF(AF7&gt;0,'Investment Plan'!$C32*(1-'Investment Plan'!$C8)*'Investment Plan'!$C9,0)</f>
        <v>0</v>
      </c>
      <c r="AG8" s="60">
        <f>IF(AG7&gt;0,'Investment Plan'!$C32*(1-'Investment Plan'!$C8)*'Investment Plan'!$C9,0)</f>
        <v>0</v>
      </c>
    </row>
    <row r="9" spans="1:33" ht="12.75" customHeight="1">
      <c r="A9" s="202"/>
      <c r="B9" s="13" t="s">
        <v>373</v>
      </c>
      <c r="C9" s="61">
        <f>SUM(D9:AG9)</f>
        <v>0.07</v>
      </c>
      <c r="D9" s="61">
        <f>IF(D5='Investment Plan'!$C5,'Investment Plan'!$C32-$C8,0)</f>
        <v>0</v>
      </c>
      <c r="E9" s="61">
        <f>IF(E5='Investment Plan'!$C5,'Investment Plan'!$C32-$C8,0)</f>
        <v>0</v>
      </c>
      <c r="F9" s="61">
        <f>IF(F5='Investment Plan'!$C5,'Investment Plan'!$C32-$C8,0)</f>
        <v>0</v>
      </c>
      <c r="G9" s="61">
        <f>IF(G5='Investment Plan'!$C5,'Investment Plan'!$C32-$C8,0)</f>
        <v>0</v>
      </c>
      <c r="H9" s="61">
        <f>IF(H5='Investment Plan'!$C5,'Investment Plan'!$C32-$C8,0)</f>
        <v>0</v>
      </c>
      <c r="I9" s="61">
        <f>IF(I5='Investment Plan'!$C5,'Investment Plan'!$C32-$C8,0)</f>
        <v>0</v>
      </c>
      <c r="J9" s="61">
        <f>IF(J5='Investment Plan'!$C5,'Investment Plan'!$C32-$C8,0)</f>
        <v>0</v>
      </c>
      <c r="K9" s="61">
        <f>IF(K5='Investment Plan'!$C5,'Investment Plan'!$C32-$C8,0)</f>
        <v>0</v>
      </c>
      <c r="L9" s="61">
        <f>IF(L5='Investment Plan'!$C5,'Investment Plan'!$C32-$C8,0)</f>
        <v>0</v>
      </c>
      <c r="M9" s="61">
        <f>IF(M5='Investment Plan'!$C5,'Investment Plan'!$C32-$C8,0)</f>
        <v>0</v>
      </c>
      <c r="N9" s="61">
        <f>IF(N5='Investment Plan'!$C5,'Investment Plan'!$C32-$C8,0)</f>
        <v>0</v>
      </c>
      <c r="O9" s="61">
        <f>IF(O5='Investment Plan'!$C5,'Investment Plan'!$C32-$C8,0)</f>
        <v>0</v>
      </c>
      <c r="P9" s="61">
        <f>IF(P5='Investment Plan'!$C5,'Investment Plan'!$C32-$C8,0)</f>
        <v>0</v>
      </c>
      <c r="Q9" s="61">
        <f>IF(Q5='Investment Plan'!$C5,'Investment Plan'!$C32-$C8,0)</f>
        <v>0</v>
      </c>
      <c r="R9" s="61">
        <f>IF(R5='Investment Plan'!$C5,'Investment Plan'!$C32-$C8,0)</f>
        <v>0</v>
      </c>
      <c r="S9" s="61">
        <f>IF(S5='Investment Plan'!$C5,'Investment Plan'!$C32-$C8,0)</f>
        <v>0</v>
      </c>
      <c r="T9" s="61">
        <f>IF(T5='Investment Plan'!$C5,'Investment Plan'!$C32-$C8,0)</f>
        <v>0</v>
      </c>
      <c r="U9" s="61">
        <f>IF(U5='Investment Plan'!$C5,'Investment Plan'!$C32-$C8,0)</f>
        <v>0</v>
      </c>
      <c r="V9" s="61">
        <f>IF(V5='Investment Plan'!$C5,'Investment Plan'!$C32-$C8,0)</f>
        <v>0</v>
      </c>
      <c r="W9" s="61">
        <f>IF(W5='Investment Plan'!$C5,'Investment Plan'!$C32-$C8,0)</f>
        <v>0</v>
      </c>
      <c r="X9" s="61">
        <f>IF(X5='Investment Plan'!$C5,'Investment Plan'!$C32-$C8,0)</f>
        <v>0</v>
      </c>
      <c r="Y9" s="61">
        <f>IF(Y5='Investment Plan'!$C5,'Investment Plan'!$C32-$C8,0)</f>
        <v>0</v>
      </c>
      <c r="Z9" s="61">
        <f>IF(Z5='Investment Plan'!$C5,'Investment Plan'!$C32-$C8,0)</f>
        <v>0</v>
      </c>
      <c r="AA9" s="61">
        <f>IF(AA5='Investment Plan'!$C5,'Investment Plan'!$C32-$C8,0)</f>
        <v>0</v>
      </c>
      <c r="AB9" s="61">
        <f>IF(AB5='Investment Plan'!$C5,'Investment Plan'!$C32-$C8,0)</f>
        <v>0</v>
      </c>
      <c r="AC9" s="61">
        <f>IF(AC5='Investment Plan'!$C5,'Investment Plan'!$C32-$C8,0)</f>
        <v>0</v>
      </c>
      <c r="AD9" s="61">
        <f>IF(AD5='Investment Plan'!$C5,'Investment Plan'!$C32-$C8,0)</f>
        <v>0</v>
      </c>
      <c r="AE9" s="61">
        <f>IF(AE5='Investment Plan'!$C5,'Investment Plan'!$C32-$C8,0)</f>
        <v>0</v>
      </c>
      <c r="AF9" s="61">
        <f>IF(AF5='Investment Plan'!$C5,'Investment Plan'!$C32-$C8,0)</f>
        <v>0</v>
      </c>
      <c r="AG9" s="61">
        <f>IF(AG5='Investment Plan'!$C5,'Investment Plan'!$C32-$C8,0)</f>
        <v>0.07</v>
      </c>
    </row>
    <row r="10" spans="1:33" s="130" customFormat="1" ht="12.75" customHeight="1">
      <c r="A10" s="202"/>
      <c r="B10" s="13" t="s">
        <v>374</v>
      </c>
      <c r="C10" s="62" t="s">
        <v>125</v>
      </c>
      <c r="D10" s="68">
        <v>1</v>
      </c>
      <c r="E10" s="68">
        <v>1</v>
      </c>
      <c r="F10" s="68">
        <v>1</v>
      </c>
      <c r="G10" s="68">
        <v>1</v>
      </c>
      <c r="H10" s="68">
        <v>1</v>
      </c>
      <c r="I10" s="68">
        <v>1</v>
      </c>
      <c r="J10" s="68">
        <v>1</v>
      </c>
      <c r="K10" s="68">
        <v>1</v>
      </c>
      <c r="L10" s="68">
        <v>1</v>
      </c>
      <c r="M10" s="66">
        <f>IF(M7&gt;0,L10,0)</f>
        <v>1</v>
      </c>
      <c r="N10" s="66">
        <f>IF(N7&gt;0,M10,0)</f>
        <v>1</v>
      </c>
      <c r="O10" s="66">
        <f aca="true" t="shared" si="0" ref="O10:AG10">IF(O7&gt;0,N10,0)</f>
        <v>1</v>
      </c>
      <c r="P10" s="66">
        <f t="shared" si="0"/>
        <v>1</v>
      </c>
      <c r="Q10" s="66">
        <f t="shared" si="0"/>
        <v>1</v>
      </c>
      <c r="R10" s="66">
        <f t="shared" si="0"/>
        <v>1</v>
      </c>
      <c r="S10" s="66">
        <f t="shared" si="0"/>
        <v>1</v>
      </c>
      <c r="T10" s="66">
        <f t="shared" si="0"/>
        <v>1</v>
      </c>
      <c r="U10" s="66">
        <f t="shared" si="0"/>
        <v>1</v>
      </c>
      <c r="V10" s="66">
        <f t="shared" si="0"/>
        <v>1</v>
      </c>
      <c r="W10" s="66">
        <f t="shared" si="0"/>
        <v>1</v>
      </c>
      <c r="X10" s="66">
        <f t="shared" si="0"/>
        <v>0</v>
      </c>
      <c r="Y10" s="66">
        <f t="shared" si="0"/>
        <v>0</v>
      </c>
      <c r="Z10" s="66">
        <f t="shared" si="0"/>
        <v>0</v>
      </c>
      <c r="AA10" s="66">
        <f t="shared" si="0"/>
        <v>0</v>
      </c>
      <c r="AB10" s="66">
        <f t="shared" si="0"/>
        <v>0</v>
      </c>
      <c r="AC10" s="66">
        <f t="shared" si="0"/>
        <v>0</v>
      </c>
      <c r="AD10" s="66">
        <f t="shared" si="0"/>
        <v>0</v>
      </c>
      <c r="AE10" s="66">
        <f t="shared" si="0"/>
        <v>0</v>
      </c>
      <c r="AF10" s="66">
        <f t="shared" si="0"/>
        <v>0</v>
      </c>
      <c r="AG10" s="66">
        <f t="shared" si="0"/>
        <v>0</v>
      </c>
    </row>
    <row r="11" spans="1:33" ht="12.75" customHeight="1">
      <c r="A11" s="190"/>
      <c r="B11" s="13" t="s">
        <v>375</v>
      </c>
      <c r="C11" s="60">
        <f aca="true" t="shared" si="1" ref="C11:C29">SUM(D11:AG11)</f>
        <v>14879.6</v>
      </c>
      <c r="D11" s="60">
        <f>IF($C10="*",D8*D10,0)</f>
        <v>743.98</v>
      </c>
      <c r="E11" s="60">
        <f aca="true" t="shared" si="2" ref="E11:M11">IF($C10="*",E8*E10,0)</f>
        <v>743.98</v>
      </c>
      <c r="F11" s="60">
        <f t="shared" si="2"/>
        <v>743.98</v>
      </c>
      <c r="G11" s="60">
        <f t="shared" si="2"/>
        <v>743.98</v>
      </c>
      <c r="H11" s="60">
        <f t="shared" si="2"/>
        <v>743.98</v>
      </c>
      <c r="I11" s="60">
        <f t="shared" si="2"/>
        <v>743.98</v>
      </c>
      <c r="J11" s="60">
        <f t="shared" si="2"/>
        <v>743.98</v>
      </c>
      <c r="K11" s="60">
        <f t="shared" si="2"/>
        <v>743.98</v>
      </c>
      <c r="L11" s="60">
        <f t="shared" si="2"/>
        <v>743.98</v>
      </c>
      <c r="M11" s="60">
        <f t="shared" si="2"/>
        <v>743.98</v>
      </c>
      <c r="N11" s="60">
        <f aca="true" t="shared" si="3" ref="N11:AG11">IF($C10="*",N8*N10,0)</f>
        <v>743.98</v>
      </c>
      <c r="O11" s="60">
        <f t="shared" si="3"/>
        <v>743.98</v>
      </c>
      <c r="P11" s="60">
        <f t="shared" si="3"/>
        <v>743.98</v>
      </c>
      <c r="Q11" s="60">
        <f t="shared" si="3"/>
        <v>743.98</v>
      </c>
      <c r="R11" s="60">
        <f t="shared" si="3"/>
        <v>743.98</v>
      </c>
      <c r="S11" s="60">
        <f t="shared" si="3"/>
        <v>743.98</v>
      </c>
      <c r="T11" s="60">
        <f t="shared" si="3"/>
        <v>743.98</v>
      </c>
      <c r="U11" s="60">
        <f t="shared" si="3"/>
        <v>743.98</v>
      </c>
      <c r="V11" s="60">
        <f t="shared" si="3"/>
        <v>743.98</v>
      </c>
      <c r="W11" s="60">
        <f t="shared" si="3"/>
        <v>743.98</v>
      </c>
      <c r="X11" s="60">
        <f t="shared" si="3"/>
        <v>0</v>
      </c>
      <c r="Y11" s="60">
        <f t="shared" si="3"/>
        <v>0</v>
      </c>
      <c r="Z11" s="60">
        <f t="shared" si="3"/>
        <v>0</v>
      </c>
      <c r="AA11" s="60">
        <f t="shared" si="3"/>
        <v>0</v>
      </c>
      <c r="AB11" s="60">
        <f t="shared" si="3"/>
        <v>0</v>
      </c>
      <c r="AC11" s="60">
        <f t="shared" si="3"/>
        <v>0</v>
      </c>
      <c r="AD11" s="60">
        <f t="shared" si="3"/>
        <v>0</v>
      </c>
      <c r="AE11" s="60">
        <f t="shared" si="3"/>
        <v>0</v>
      </c>
      <c r="AF11" s="60">
        <f t="shared" si="3"/>
        <v>0</v>
      </c>
      <c r="AG11" s="60">
        <f t="shared" si="3"/>
        <v>0</v>
      </c>
    </row>
    <row r="12" spans="1:33" ht="12.75" customHeight="1">
      <c r="A12" s="9"/>
      <c r="B12" s="3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ht="12.75" customHeight="1">
      <c r="A13" s="189">
        <v>2</v>
      </c>
      <c r="B13" s="13" t="s">
        <v>376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ht="12.75" customHeight="1">
      <c r="A14" s="202"/>
      <c r="B14" s="13" t="s">
        <v>371</v>
      </c>
      <c r="C14" s="60"/>
      <c r="D14" s="54">
        <f>IF(D5&lt;='Investment Plan'!$C5,D5,0)</f>
        <v>1</v>
      </c>
      <c r="E14" s="54">
        <f>IF(E5&lt;='Investment Plan'!$C5,E5,0)</f>
        <v>2</v>
      </c>
      <c r="F14" s="54">
        <f>IF(F5&lt;='Investment Plan'!$C5,F5,0)</f>
        <v>3</v>
      </c>
      <c r="G14" s="54">
        <f>IF(G5&lt;='Investment Plan'!$C5,G5,0)</f>
        <v>4</v>
      </c>
      <c r="H14" s="54">
        <f>IF(H5&lt;='Investment Plan'!$C5,H5,0)</f>
        <v>5</v>
      </c>
      <c r="I14" s="54">
        <f>IF(I5&lt;='Investment Plan'!$C5,I5,0)</f>
        <v>6</v>
      </c>
      <c r="J14" s="54">
        <f>IF(J5&lt;='Investment Plan'!$C5,J5,0)</f>
        <v>7</v>
      </c>
      <c r="K14" s="54">
        <f>IF(K5&lt;='Investment Plan'!$C5,K5,0)</f>
        <v>8</v>
      </c>
      <c r="L14" s="54">
        <f>IF(L5&lt;='Investment Plan'!$C5,L5,0)</f>
        <v>9</v>
      </c>
      <c r="M14" s="54">
        <f>IF(M5&lt;='Investment Plan'!$C5,M5,0)</f>
        <v>10</v>
      </c>
      <c r="N14" s="54">
        <f>IF(N5&lt;='Investment Plan'!$C5,N5,0)</f>
        <v>11</v>
      </c>
      <c r="O14" s="54">
        <f>IF(O5&lt;='Investment Plan'!$C5,O5,0)</f>
        <v>12</v>
      </c>
      <c r="P14" s="54">
        <f>IF(P5&lt;='Investment Plan'!$C5,P5,0)</f>
        <v>13</v>
      </c>
      <c r="Q14" s="54">
        <f>IF(Q5&lt;='Investment Plan'!$C5,Q5,0)</f>
        <v>14</v>
      </c>
      <c r="R14" s="54">
        <f>IF(R5&lt;='Investment Plan'!$C5,R5,0)</f>
        <v>15</v>
      </c>
      <c r="S14" s="54">
        <f>IF(S5&lt;='Investment Plan'!$C5,S5,0)</f>
        <v>16</v>
      </c>
      <c r="T14" s="54">
        <f>IF(T5&lt;='Investment Plan'!$C5,T5,0)</f>
        <v>17</v>
      </c>
      <c r="U14" s="54">
        <f>IF(U5&lt;='Investment Plan'!$C5,U5,0)</f>
        <v>18</v>
      </c>
      <c r="V14" s="54">
        <f>IF(V5&lt;='Investment Plan'!$C5,V5,0)</f>
        <v>19</v>
      </c>
      <c r="W14" s="54">
        <f>IF(W5&lt;='Investment Plan'!$C5,W5,0)</f>
        <v>20</v>
      </c>
      <c r="X14" s="54">
        <f>IF(X5&lt;='Investment Plan'!$C5,X5,0)</f>
        <v>21</v>
      </c>
      <c r="Y14" s="54">
        <f>IF(Y5&lt;='Investment Plan'!$C5,Y5,0)</f>
        <v>22</v>
      </c>
      <c r="Z14" s="54">
        <f>IF(Z5&lt;='Investment Plan'!$C5,Z5,0)</f>
        <v>23</v>
      </c>
      <c r="AA14" s="54">
        <f>IF(AA5&lt;='Investment Plan'!$C5,AA5,0)</f>
        <v>24</v>
      </c>
      <c r="AB14" s="54">
        <f>IF(AB5&lt;='Investment Plan'!$C5,AB5,0)</f>
        <v>25</v>
      </c>
      <c r="AC14" s="54">
        <f>IF(AC5&lt;='Investment Plan'!$C5,AC5,0)</f>
        <v>26</v>
      </c>
      <c r="AD14" s="54">
        <f>IF(AD5&lt;='Investment Plan'!$C5,AD5,0)</f>
        <v>27</v>
      </c>
      <c r="AE14" s="54">
        <f>IF(AE5&lt;='Investment Plan'!$C5,AE5,0)</f>
        <v>28</v>
      </c>
      <c r="AF14" s="54">
        <f>IF(AF5&lt;='Investment Plan'!$C5,AF5,0)</f>
        <v>29</v>
      </c>
      <c r="AG14" s="54">
        <f>IF(AG5&lt;='Investment Plan'!$C5,AG5,0)</f>
        <v>30</v>
      </c>
    </row>
    <row r="15" spans="1:33" ht="12.75" customHeight="1">
      <c r="A15" s="202"/>
      <c r="B15" s="13" t="s">
        <v>372</v>
      </c>
      <c r="C15" s="60">
        <f t="shared" si="1"/>
        <v>0</v>
      </c>
      <c r="D15" s="60">
        <f>IF(D14&gt;0,'Investment Plan'!$C27*'Investment Plan'!$C13,0)</f>
        <v>0</v>
      </c>
      <c r="E15" s="60">
        <f>IF(E14&gt;0,'Investment Plan'!$C27*'Investment Plan'!$C13,0)</f>
        <v>0</v>
      </c>
      <c r="F15" s="60">
        <f>IF(F14&gt;0,'Investment Plan'!$C27*'Investment Plan'!$C13,0)</f>
        <v>0</v>
      </c>
      <c r="G15" s="60">
        <f>IF(G14&gt;0,'Investment Plan'!$C27*'Investment Plan'!$C13,0)</f>
        <v>0</v>
      </c>
      <c r="H15" s="60">
        <f>IF(H14&gt;0,'Investment Plan'!$C27*'Investment Plan'!$C13,0)</f>
        <v>0</v>
      </c>
      <c r="I15" s="60">
        <f>IF(I14&gt;0,'Investment Plan'!$C27*'Investment Plan'!$C13,0)</f>
        <v>0</v>
      </c>
      <c r="J15" s="60">
        <f>IF(J14&gt;0,'Investment Plan'!$C27*'Investment Plan'!$C13,0)</f>
        <v>0</v>
      </c>
      <c r="K15" s="60">
        <f>IF(K14&gt;0,'Investment Plan'!$C27*'Investment Plan'!$C13,0)</f>
        <v>0</v>
      </c>
      <c r="L15" s="60">
        <f>IF(L14&gt;0,'Investment Plan'!$C27*'Investment Plan'!$C13,0)</f>
        <v>0</v>
      </c>
      <c r="M15" s="60">
        <f>IF(M14&gt;0,'Investment Plan'!$C27*'Investment Plan'!$C13,0)</f>
        <v>0</v>
      </c>
      <c r="N15" s="60">
        <f>IF(N14&gt;0,'Investment Plan'!$C27*'Investment Plan'!$C13,0)</f>
        <v>0</v>
      </c>
      <c r="O15" s="60">
        <f>IF(O14&gt;0,'Investment Plan'!$C27*'Investment Plan'!$C13,0)</f>
        <v>0</v>
      </c>
      <c r="P15" s="60">
        <f>IF(P14&gt;0,'Investment Plan'!$C27*'Investment Plan'!$C13,0)</f>
        <v>0</v>
      </c>
      <c r="Q15" s="60">
        <f>IF(Q14&gt;0,'Investment Plan'!$C27*'Investment Plan'!$C13,0)</f>
        <v>0</v>
      </c>
      <c r="R15" s="60">
        <f>IF(R14&gt;0,'Investment Plan'!$C27*'Investment Plan'!$C13,0)</f>
        <v>0</v>
      </c>
      <c r="S15" s="60">
        <f>IF(S14&gt;0,'Investment Plan'!$C27*'Investment Plan'!$C13,0)</f>
        <v>0</v>
      </c>
      <c r="T15" s="60">
        <f>IF(T14&gt;0,'Investment Plan'!$C27*'Investment Plan'!$C13,0)</f>
        <v>0</v>
      </c>
      <c r="U15" s="60">
        <f>IF(U14&gt;0,'Investment Plan'!$C27*'Investment Plan'!$C13,0)</f>
        <v>0</v>
      </c>
      <c r="V15" s="60">
        <f>IF(V14&gt;0,'Investment Plan'!$C27*'Investment Plan'!$C13,0)</f>
        <v>0</v>
      </c>
      <c r="W15" s="60">
        <f>IF(W14&gt;0,'Investment Plan'!$C27*'Investment Plan'!$C13,0)</f>
        <v>0</v>
      </c>
      <c r="X15" s="60">
        <f>IF(X14&gt;0,'Investment Plan'!$C27*'Investment Plan'!$C13,0)</f>
        <v>0</v>
      </c>
      <c r="Y15" s="60">
        <f>IF(Y14&gt;0,'Investment Plan'!$C27*'Investment Plan'!$C13,0)</f>
        <v>0</v>
      </c>
      <c r="Z15" s="60">
        <f>IF(Z14&gt;0,'Investment Plan'!$C27*'Investment Plan'!$C13,0)</f>
        <v>0</v>
      </c>
      <c r="AA15" s="60">
        <f>IF(AA14&gt;0,'Investment Plan'!$C27*'Investment Plan'!$C13,0)</f>
        <v>0</v>
      </c>
      <c r="AB15" s="60">
        <f>IF(AB14&gt;0,'Investment Plan'!$C27*'Investment Plan'!$C13,0)</f>
        <v>0</v>
      </c>
      <c r="AC15" s="60">
        <f>IF(AC14&gt;0,'Investment Plan'!$C27*'Investment Plan'!$C13,0)</f>
        <v>0</v>
      </c>
      <c r="AD15" s="60">
        <f>IF(AD14&gt;0,'Investment Plan'!$C27*'Investment Plan'!$C13,0)</f>
        <v>0</v>
      </c>
      <c r="AE15" s="60">
        <f>IF(AE14&gt;0,'Investment Plan'!$C27*'Investment Plan'!$C13,0)</f>
        <v>0</v>
      </c>
      <c r="AF15" s="60">
        <f>IF(AF14&gt;0,'Investment Plan'!$C27*'Investment Plan'!$C13,0)</f>
        <v>0</v>
      </c>
      <c r="AG15" s="60">
        <f>IF(AG14&gt;0,'Investment Plan'!$C27*'Investment Plan'!$C13,0)</f>
        <v>0</v>
      </c>
    </row>
    <row r="16" spans="1:33" ht="12.75" customHeight="1">
      <c r="A16" s="202"/>
      <c r="B16" s="13" t="s">
        <v>373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ht="12.75" customHeight="1">
      <c r="A17" s="202"/>
      <c r="B17" s="13" t="s">
        <v>374</v>
      </c>
      <c r="C17" s="62">
        <v>0</v>
      </c>
      <c r="D17" s="68">
        <v>0.8</v>
      </c>
      <c r="E17" s="68">
        <v>0.8</v>
      </c>
      <c r="F17" s="68">
        <v>0.8</v>
      </c>
      <c r="G17" s="68">
        <v>0.8</v>
      </c>
      <c r="H17" s="68">
        <v>0.8</v>
      </c>
      <c r="I17" s="68">
        <v>0.8</v>
      </c>
      <c r="J17" s="68">
        <v>0.8</v>
      </c>
      <c r="K17" s="68">
        <v>0.8</v>
      </c>
      <c r="L17" s="68">
        <v>0.8</v>
      </c>
      <c r="M17" s="129">
        <f aca="true" t="shared" si="4" ref="M17:AG17">IF(M14&gt;0,L17,0)</f>
        <v>0.8</v>
      </c>
      <c r="N17" s="129">
        <f t="shared" si="4"/>
        <v>0.8</v>
      </c>
      <c r="O17" s="129">
        <f t="shared" si="4"/>
        <v>0.8</v>
      </c>
      <c r="P17" s="129">
        <f t="shared" si="4"/>
        <v>0.8</v>
      </c>
      <c r="Q17" s="129">
        <f t="shared" si="4"/>
        <v>0.8</v>
      </c>
      <c r="R17" s="129">
        <f t="shared" si="4"/>
        <v>0.8</v>
      </c>
      <c r="S17" s="129">
        <f t="shared" si="4"/>
        <v>0.8</v>
      </c>
      <c r="T17" s="129">
        <f t="shared" si="4"/>
        <v>0.8</v>
      </c>
      <c r="U17" s="129">
        <f t="shared" si="4"/>
        <v>0.8</v>
      </c>
      <c r="V17" s="129">
        <f t="shared" si="4"/>
        <v>0.8</v>
      </c>
      <c r="W17" s="129">
        <f t="shared" si="4"/>
        <v>0.8</v>
      </c>
      <c r="X17" s="129">
        <f t="shared" si="4"/>
        <v>0.8</v>
      </c>
      <c r="Y17" s="129">
        <f t="shared" si="4"/>
        <v>0.8</v>
      </c>
      <c r="Z17" s="129">
        <f t="shared" si="4"/>
        <v>0.8</v>
      </c>
      <c r="AA17" s="129">
        <f>IF(AA14&gt;0,Z17,0)</f>
        <v>0.8</v>
      </c>
      <c r="AB17" s="129">
        <f t="shared" si="4"/>
        <v>0.8</v>
      </c>
      <c r="AC17" s="129">
        <f t="shared" si="4"/>
        <v>0.8</v>
      </c>
      <c r="AD17" s="129">
        <f t="shared" si="4"/>
        <v>0.8</v>
      </c>
      <c r="AE17" s="129">
        <f t="shared" si="4"/>
        <v>0.8</v>
      </c>
      <c r="AF17" s="129">
        <f t="shared" si="4"/>
        <v>0.8</v>
      </c>
      <c r="AG17" s="129">
        <f t="shared" si="4"/>
        <v>0.8</v>
      </c>
    </row>
    <row r="18" spans="1:33" ht="12.75" customHeight="1">
      <c r="A18" s="190"/>
      <c r="B18" s="13" t="s">
        <v>375</v>
      </c>
      <c r="C18" s="60">
        <f t="shared" si="1"/>
        <v>0</v>
      </c>
      <c r="D18" s="60">
        <f>IF($C17="*",D15*D17,0)</f>
        <v>0</v>
      </c>
      <c r="E18" s="60">
        <f aca="true" t="shared" si="5" ref="E18:AG18">IF($C17="*",E15*E17,0)</f>
        <v>0</v>
      </c>
      <c r="F18" s="60">
        <f t="shared" si="5"/>
        <v>0</v>
      </c>
      <c r="G18" s="60">
        <f t="shared" si="5"/>
        <v>0</v>
      </c>
      <c r="H18" s="60">
        <f t="shared" si="5"/>
        <v>0</v>
      </c>
      <c r="I18" s="60">
        <f t="shared" si="5"/>
        <v>0</v>
      </c>
      <c r="J18" s="60">
        <f t="shared" si="5"/>
        <v>0</v>
      </c>
      <c r="K18" s="60">
        <f t="shared" si="5"/>
        <v>0</v>
      </c>
      <c r="L18" s="60">
        <f t="shared" si="5"/>
        <v>0</v>
      </c>
      <c r="M18" s="60">
        <f t="shared" si="5"/>
        <v>0</v>
      </c>
      <c r="N18" s="60">
        <f t="shared" si="5"/>
        <v>0</v>
      </c>
      <c r="O18" s="60">
        <f t="shared" si="5"/>
        <v>0</v>
      </c>
      <c r="P18" s="60">
        <f t="shared" si="5"/>
        <v>0</v>
      </c>
      <c r="Q18" s="60">
        <f t="shared" si="5"/>
        <v>0</v>
      </c>
      <c r="R18" s="60">
        <f t="shared" si="5"/>
        <v>0</v>
      </c>
      <c r="S18" s="60">
        <f t="shared" si="5"/>
        <v>0</v>
      </c>
      <c r="T18" s="60">
        <f t="shared" si="5"/>
        <v>0</v>
      </c>
      <c r="U18" s="60">
        <f t="shared" si="5"/>
        <v>0</v>
      </c>
      <c r="V18" s="60">
        <f t="shared" si="5"/>
        <v>0</v>
      </c>
      <c r="W18" s="60">
        <f t="shared" si="5"/>
        <v>0</v>
      </c>
      <c r="X18" s="60">
        <f t="shared" si="5"/>
        <v>0</v>
      </c>
      <c r="Y18" s="60">
        <f t="shared" si="5"/>
        <v>0</v>
      </c>
      <c r="Z18" s="60">
        <f t="shared" si="5"/>
        <v>0</v>
      </c>
      <c r="AA18" s="60">
        <f t="shared" si="5"/>
        <v>0</v>
      </c>
      <c r="AB18" s="60">
        <f t="shared" si="5"/>
        <v>0</v>
      </c>
      <c r="AC18" s="60">
        <f t="shared" si="5"/>
        <v>0</v>
      </c>
      <c r="AD18" s="60">
        <f t="shared" si="5"/>
        <v>0</v>
      </c>
      <c r="AE18" s="60">
        <f t="shared" si="5"/>
        <v>0</v>
      </c>
      <c r="AF18" s="60">
        <f t="shared" si="5"/>
        <v>0</v>
      </c>
      <c r="AG18" s="60">
        <f t="shared" si="5"/>
        <v>0</v>
      </c>
    </row>
    <row r="19" spans="1:33" ht="12.75" customHeight="1">
      <c r="A19" s="18"/>
      <c r="B19" s="36"/>
      <c r="C19" s="6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 customHeight="1">
      <c r="A20" s="189">
        <v>3</v>
      </c>
      <c r="B20" s="13" t="s">
        <v>377</v>
      </c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 customHeight="1">
      <c r="A21" s="202"/>
      <c r="B21" s="13" t="s">
        <v>378</v>
      </c>
      <c r="C21" s="60">
        <f t="shared" si="1"/>
        <v>0</v>
      </c>
      <c r="D21" s="60">
        <f>IF($C22="*",'Cost and Income'!E32,0)</f>
        <v>0</v>
      </c>
      <c r="E21" s="60">
        <f>IF($C22="*",'Cost and Income'!F32,0)</f>
        <v>0</v>
      </c>
      <c r="F21" s="60">
        <f>IF($C22="*",'Cost and Income'!G32,0)</f>
        <v>0</v>
      </c>
      <c r="G21" s="60">
        <f>IF($C22="*",'Cost and Income'!H32,0)</f>
        <v>0</v>
      </c>
      <c r="H21" s="60">
        <f>IF($C22="*",'Cost and Income'!I32,0)</f>
        <v>0</v>
      </c>
      <c r="I21" s="60">
        <f>IF($C22="*",'Cost and Income'!J32,0)</f>
        <v>0</v>
      </c>
      <c r="J21" s="60">
        <f>IF($C22="*",'Cost and Income'!K32,0)</f>
        <v>0</v>
      </c>
      <c r="K21" s="60">
        <f>IF($C22="*",'Cost and Income'!L32,0)</f>
        <v>0</v>
      </c>
      <c r="L21" s="60">
        <f>IF($C22="*",'Cost and Income'!M32,0)</f>
        <v>0</v>
      </c>
      <c r="M21" s="60">
        <f>IF($C22="*",'Cost and Income'!N32,0)</f>
        <v>0</v>
      </c>
      <c r="N21" s="60">
        <f>IF($C22="*",'Cost and Income'!O32,0)</f>
        <v>0</v>
      </c>
      <c r="O21" s="60">
        <f>IF($C22="*",'Cost and Income'!P32,0)</f>
        <v>0</v>
      </c>
      <c r="P21" s="60">
        <f>IF($C22="*",'Cost and Income'!Q32,0)</f>
        <v>0</v>
      </c>
      <c r="Q21" s="60">
        <f>IF($C22="*",'Cost and Income'!R32,0)</f>
        <v>0</v>
      </c>
      <c r="R21" s="60">
        <f>IF($C22="*",'Cost and Income'!S32,0)</f>
        <v>0</v>
      </c>
      <c r="S21" s="60">
        <f>IF($C22="*",'Cost and Income'!T32,0)</f>
        <v>0</v>
      </c>
      <c r="T21" s="60">
        <f>IF($C22="*",'Cost and Income'!U32,0)</f>
        <v>0</v>
      </c>
      <c r="U21" s="60">
        <f>IF($C22="*",'Cost and Income'!V32,0)</f>
        <v>0</v>
      </c>
      <c r="V21" s="60">
        <f>IF($C22="*",'Cost and Income'!W32,0)</f>
        <v>0</v>
      </c>
      <c r="W21" s="60">
        <f>IF($C22="*",'Cost and Income'!X32,0)</f>
        <v>0</v>
      </c>
      <c r="X21" s="60">
        <f>IF($C22="*",'Cost and Income'!Y32,0)</f>
        <v>0</v>
      </c>
      <c r="Y21" s="60">
        <f>IF($C22="*",'Cost and Income'!Z32,0)</f>
        <v>0</v>
      </c>
      <c r="Z21" s="60">
        <f>IF($C22="*",'Cost and Income'!AA32,0)</f>
        <v>0</v>
      </c>
      <c r="AA21" s="60">
        <f>IF($C22="*",'Cost and Income'!AB32,0)</f>
        <v>0</v>
      </c>
      <c r="AB21" s="60">
        <f>IF($C22="*",'Cost and Income'!AC32,0)</f>
        <v>0</v>
      </c>
      <c r="AC21" s="60">
        <f>IF($C22="*",'Cost and Income'!AD32,0)</f>
        <v>0</v>
      </c>
      <c r="AD21" s="60">
        <f>IF($C22="*",'Cost and Income'!AE32,0)</f>
        <v>0</v>
      </c>
      <c r="AE21" s="60">
        <f>IF($C22="*",'Cost and Income'!AF32,0)</f>
        <v>0</v>
      </c>
      <c r="AF21" s="60">
        <f>IF($C22="*",'Cost and Income'!AG32,0)</f>
        <v>0</v>
      </c>
      <c r="AG21" s="60">
        <f>IF($C22="*",'Cost and Income'!AH32,0)</f>
        <v>0</v>
      </c>
    </row>
    <row r="22" spans="1:33" ht="12.75" customHeight="1">
      <c r="A22" s="202"/>
      <c r="B22" s="13" t="s">
        <v>379</v>
      </c>
      <c r="C22" s="62">
        <v>0</v>
      </c>
      <c r="D22" s="68">
        <v>0.5</v>
      </c>
      <c r="E22" s="68">
        <v>0.5</v>
      </c>
      <c r="F22" s="68">
        <v>0.5</v>
      </c>
      <c r="G22" s="68">
        <v>0.5</v>
      </c>
      <c r="H22" s="68">
        <v>0.5</v>
      </c>
      <c r="I22" s="68">
        <v>0.5</v>
      </c>
      <c r="J22" s="68">
        <v>0.5</v>
      </c>
      <c r="K22" s="68">
        <v>0.5</v>
      </c>
      <c r="L22" s="68">
        <v>0.5</v>
      </c>
      <c r="M22" s="66">
        <f aca="true" t="shared" si="6" ref="M22:AG22">IF(M5&gt;0,L22,0)</f>
        <v>0.5</v>
      </c>
      <c r="N22" s="66">
        <f t="shared" si="6"/>
        <v>0.5</v>
      </c>
      <c r="O22" s="66">
        <f t="shared" si="6"/>
        <v>0.5</v>
      </c>
      <c r="P22" s="66">
        <f t="shared" si="6"/>
        <v>0.5</v>
      </c>
      <c r="Q22" s="66">
        <f t="shared" si="6"/>
        <v>0.5</v>
      </c>
      <c r="R22" s="66">
        <f t="shared" si="6"/>
        <v>0.5</v>
      </c>
      <c r="S22" s="66">
        <f t="shared" si="6"/>
        <v>0.5</v>
      </c>
      <c r="T22" s="66">
        <f t="shared" si="6"/>
        <v>0.5</v>
      </c>
      <c r="U22" s="66">
        <f t="shared" si="6"/>
        <v>0.5</v>
      </c>
      <c r="V22" s="66">
        <f t="shared" si="6"/>
        <v>0.5</v>
      </c>
      <c r="W22" s="66">
        <f t="shared" si="6"/>
        <v>0.5</v>
      </c>
      <c r="X22" s="66">
        <f t="shared" si="6"/>
        <v>0.5</v>
      </c>
      <c r="Y22" s="66">
        <f t="shared" si="6"/>
        <v>0.5</v>
      </c>
      <c r="Z22" s="66">
        <f t="shared" si="6"/>
        <v>0.5</v>
      </c>
      <c r="AA22" s="66">
        <f t="shared" si="6"/>
        <v>0.5</v>
      </c>
      <c r="AB22" s="66">
        <f t="shared" si="6"/>
        <v>0.5</v>
      </c>
      <c r="AC22" s="66">
        <f t="shared" si="6"/>
        <v>0.5</v>
      </c>
      <c r="AD22" s="66">
        <f t="shared" si="6"/>
        <v>0.5</v>
      </c>
      <c r="AE22" s="66">
        <f t="shared" si="6"/>
        <v>0.5</v>
      </c>
      <c r="AF22" s="66">
        <f t="shared" si="6"/>
        <v>0.5</v>
      </c>
      <c r="AG22" s="66">
        <f t="shared" si="6"/>
        <v>0.5</v>
      </c>
    </row>
    <row r="23" spans="1:33" ht="12.75" customHeight="1">
      <c r="A23" s="190"/>
      <c r="B23" s="13" t="s">
        <v>380</v>
      </c>
      <c r="C23" s="60">
        <f t="shared" si="1"/>
        <v>0</v>
      </c>
      <c r="D23" s="60">
        <f>D21*D22</f>
        <v>0</v>
      </c>
      <c r="E23" s="60">
        <f aca="true" t="shared" si="7" ref="E23:AG23">E21*E22</f>
        <v>0</v>
      </c>
      <c r="F23" s="60">
        <f t="shared" si="7"/>
        <v>0</v>
      </c>
      <c r="G23" s="60">
        <f t="shared" si="7"/>
        <v>0</v>
      </c>
      <c r="H23" s="60">
        <f t="shared" si="7"/>
        <v>0</v>
      </c>
      <c r="I23" s="60">
        <f t="shared" si="7"/>
        <v>0</v>
      </c>
      <c r="J23" s="60">
        <f t="shared" si="7"/>
        <v>0</v>
      </c>
      <c r="K23" s="60">
        <f t="shared" si="7"/>
        <v>0</v>
      </c>
      <c r="L23" s="60">
        <f t="shared" si="7"/>
        <v>0</v>
      </c>
      <c r="M23" s="60">
        <f t="shared" si="7"/>
        <v>0</v>
      </c>
      <c r="N23" s="60">
        <f t="shared" si="7"/>
        <v>0</v>
      </c>
      <c r="O23" s="60">
        <f t="shared" si="7"/>
        <v>0</v>
      </c>
      <c r="P23" s="60">
        <f t="shared" si="7"/>
        <v>0</v>
      </c>
      <c r="Q23" s="60">
        <f t="shared" si="7"/>
        <v>0</v>
      </c>
      <c r="R23" s="60">
        <f t="shared" si="7"/>
        <v>0</v>
      </c>
      <c r="S23" s="60">
        <f t="shared" si="7"/>
        <v>0</v>
      </c>
      <c r="T23" s="60">
        <f t="shared" si="7"/>
        <v>0</v>
      </c>
      <c r="U23" s="60">
        <f t="shared" si="7"/>
        <v>0</v>
      </c>
      <c r="V23" s="60">
        <f t="shared" si="7"/>
        <v>0</v>
      </c>
      <c r="W23" s="60">
        <f t="shared" si="7"/>
        <v>0</v>
      </c>
      <c r="X23" s="60">
        <f t="shared" si="7"/>
        <v>0</v>
      </c>
      <c r="Y23" s="60">
        <f t="shared" si="7"/>
        <v>0</v>
      </c>
      <c r="Z23" s="60">
        <f t="shared" si="7"/>
        <v>0</v>
      </c>
      <c r="AA23" s="60">
        <f t="shared" si="7"/>
        <v>0</v>
      </c>
      <c r="AB23" s="60">
        <f t="shared" si="7"/>
        <v>0</v>
      </c>
      <c r="AC23" s="60">
        <f t="shared" si="7"/>
        <v>0</v>
      </c>
      <c r="AD23" s="60">
        <f t="shared" si="7"/>
        <v>0</v>
      </c>
      <c r="AE23" s="60">
        <f t="shared" si="7"/>
        <v>0</v>
      </c>
      <c r="AF23" s="60">
        <f t="shared" si="7"/>
        <v>0</v>
      </c>
      <c r="AG23" s="60">
        <f t="shared" si="7"/>
        <v>0</v>
      </c>
    </row>
    <row r="24" spans="1:33" ht="12.75" customHeight="1">
      <c r="A24" s="18"/>
      <c r="B24" s="36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 customHeight="1">
      <c r="A25" s="18">
        <v>4</v>
      </c>
      <c r="B25" s="10" t="s">
        <v>381</v>
      </c>
      <c r="C25" s="60">
        <f t="shared" si="1"/>
        <v>9399.18</v>
      </c>
      <c r="D25" s="60">
        <f>'Cash Flow'!G15</f>
        <v>447.58</v>
      </c>
      <c r="E25" s="60">
        <f>'Cash Flow'!H15</f>
        <v>447.58</v>
      </c>
      <c r="F25" s="60">
        <f>'Cash Flow'!I15</f>
        <v>447.58</v>
      </c>
      <c r="G25" s="60">
        <f>'Cash Flow'!J15</f>
        <v>447.58</v>
      </c>
      <c r="H25" s="60">
        <f>'Cash Flow'!K15</f>
        <v>447.58</v>
      </c>
      <c r="I25" s="60">
        <f>'Cash Flow'!L15</f>
        <v>447.58</v>
      </c>
      <c r="J25" s="60">
        <f>'Cash Flow'!M15</f>
        <v>447.58</v>
      </c>
      <c r="K25" s="60">
        <f>'Cash Flow'!N15</f>
        <v>447.58</v>
      </c>
      <c r="L25" s="60">
        <f>'Cash Flow'!O15</f>
        <v>447.58</v>
      </c>
      <c r="M25" s="60">
        <f>'Cash Flow'!P15</f>
        <v>447.58</v>
      </c>
      <c r="N25" s="60">
        <f>'Cash Flow'!Q15</f>
        <v>447.58</v>
      </c>
      <c r="O25" s="60">
        <f>'Cash Flow'!R15</f>
        <v>447.58</v>
      </c>
      <c r="P25" s="60">
        <f>'Cash Flow'!S15</f>
        <v>447.58</v>
      </c>
      <c r="Q25" s="60">
        <f>'Cash Flow'!T15</f>
        <v>447.58</v>
      </c>
      <c r="R25" s="60">
        <f>'Cash Flow'!U15</f>
        <v>447.58</v>
      </c>
      <c r="S25" s="60">
        <f>'Cash Flow'!V15</f>
        <v>447.58</v>
      </c>
      <c r="T25" s="60">
        <f>'Cash Flow'!W15</f>
        <v>447.58</v>
      </c>
      <c r="U25" s="60">
        <f>'Cash Flow'!X15</f>
        <v>447.58</v>
      </c>
      <c r="V25" s="60">
        <f>'Cash Flow'!Y15</f>
        <v>447.58</v>
      </c>
      <c r="W25" s="60">
        <f>'Cash Flow'!Z15</f>
        <v>447.58</v>
      </c>
      <c r="X25" s="60">
        <f>'Cash Flow'!AA15</f>
        <v>447.58</v>
      </c>
      <c r="Y25" s="60">
        <f>'Cash Flow'!AB15</f>
        <v>0</v>
      </c>
      <c r="Z25" s="60">
        <f>'Cash Flow'!AC15</f>
        <v>0</v>
      </c>
      <c r="AA25" s="60">
        <f>'Cash Flow'!AD15</f>
        <v>0</v>
      </c>
      <c r="AB25" s="60">
        <f>'Cash Flow'!AE15</f>
        <v>0</v>
      </c>
      <c r="AC25" s="60">
        <f>'Cash Flow'!AF15</f>
        <v>0</v>
      </c>
      <c r="AD25" s="60">
        <f>'Cash Flow'!AG15</f>
        <v>0</v>
      </c>
      <c r="AE25" s="60">
        <f>'Cash Flow'!AH15</f>
        <v>0</v>
      </c>
      <c r="AF25" s="60">
        <f>'Cash Flow'!AI15</f>
        <v>0</v>
      </c>
      <c r="AG25" s="60">
        <f>'Cash Flow'!AJ15</f>
        <v>0</v>
      </c>
    </row>
    <row r="26" spans="1:33" ht="12.75" customHeight="1">
      <c r="A26" s="18"/>
      <c r="B26" s="3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:33" ht="12.75" customHeight="1">
      <c r="A27" s="18">
        <v>5</v>
      </c>
      <c r="B27" s="13" t="s">
        <v>382</v>
      </c>
      <c r="C27" s="60">
        <f t="shared" si="1"/>
        <v>24278.85</v>
      </c>
      <c r="D27" s="60">
        <f>SUM(D9,D11,D16,D18,D23,D25)</f>
        <v>1191.56</v>
      </c>
      <c r="E27" s="60">
        <f aca="true" t="shared" si="8" ref="E27:AG27">SUM(E9,E11,E16,E18,E23,E25)</f>
        <v>1191.56</v>
      </c>
      <c r="F27" s="60">
        <f t="shared" si="8"/>
        <v>1191.56</v>
      </c>
      <c r="G27" s="60">
        <f t="shared" si="8"/>
        <v>1191.56</v>
      </c>
      <c r="H27" s="60">
        <f t="shared" si="8"/>
        <v>1191.56</v>
      </c>
      <c r="I27" s="60">
        <f t="shared" si="8"/>
        <v>1191.56</v>
      </c>
      <c r="J27" s="60">
        <f t="shared" si="8"/>
        <v>1191.56</v>
      </c>
      <c r="K27" s="60">
        <f t="shared" si="8"/>
        <v>1191.56</v>
      </c>
      <c r="L27" s="60">
        <f t="shared" si="8"/>
        <v>1191.56</v>
      </c>
      <c r="M27" s="60">
        <f t="shared" si="8"/>
        <v>1191.56</v>
      </c>
      <c r="N27" s="60">
        <f t="shared" si="8"/>
        <v>1191.56</v>
      </c>
      <c r="O27" s="60">
        <f t="shared" si="8"/>
        <v>1191.56</v>
      </c>
      <c r="P27" s="60">
        <f t="shared" si="8"/>
        <v>1191.56</v>
      </c>
      <c r="Q27" s="60">
        <f t="shared" si="8"/>
        <v>1191.56</v>
      </c>
      <c r="R27" s="60">
        <f t="shared" si="8"/>
        <v>1191.56</v>
      </c>
      <c r="S27" s="60">
        <f t="shared" si="8"/>
        <v>1191.56</v>
      </c>
      <c r="T27" s="60">
        <f t="shared" si="8"/>
        <v>1191.56</v>
      </c>
      <c r="U27" s="60">
        <f t="shared" si="8"/>
        <v>1191.56</v>
      </c>
      <c r="V27" s="60">
        <f t="shared" si="8"/>
        <v>1191.56</v>
      </c>
      <c r="W27" s="60">
        <f t="shared" si="8"/>
        <v>1191.56</v>
      </c>
      <c r="X27" s="60">
        <f t="shared" si="8"/>
        <v>447.58</v>
      </c>
      <c r="Y27" s="60">
        <f t="shared" si="8"/>
        <v>0</v>
      </c>
      <c r="Z27" s="60">
        <f t="shared" si="8"/>
        <v>0</v>
      </c>
      <c r="AA27" s="60">
        <f t="shared" si="8"/>
        <v>0</v>
      </c>
      <c r="AB27" s="60">
        <f t="shared" si="8"/>
        <v>0</v>
      </c>
      <c r="AC27" s="60">
        <f t="shared" si="8"/>
        <v>0</v>
      </c>
      <c r="AD27" s="60">
        <f t="shared" si="8"/>
        <v>0</v>
      </c>
      <c r="AE27" s="60">
        <f t="shared" si="8"/>
        <v>0</v>
      </c>
      <c r="AF27" s="60">
        <f t="shared" si="8"/>
        <v>0</v>
      </c>
      <c r="AG27" s="60">
        <f t="shared" si="8"/>
        <v>0.07</v>
      </c>
    </row>
    <row r="28" spans="1:33" ht="12.75" customHeight="1">
      <c r="A28" s="18"/>
      <c r="B28" s="36"/>
      <c r="C28" s="60">
        <f t="shared" si="1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 customHeight="1">
      <c r="A29" s="18">
        <v>6</v>
      </c>
      <c r="B29" s="13" t="s">
        <v>383</v>
      </c>
      <c r="C29" s="61">
        <f t="shared" si="1"/>
        <v>1386.81</v>
      </c>
      <c r="D29" s="61">
        <f>IF('Repayment of Principal'!E9&lt;&gt;0,D27-('Repayment of Principal'!E9+'Repayment of Principal'!E29),0)</f>
        <v>223.49</v>
      </c>
      <c r="E29" s="61">
        <f>IF('Repayment of Principal'!F9&lt;&gt;0,E27-('Repayment of Principal'!F9+'Repayment of Principal'!F29),0)</f>
        <v>167.73</v>
      </c>
      <c r="F29" s="61">
        <f>IF('Repayment of Principal'!G9&lt;&gt;0,F27-('Repayment of Principal'!G9+'Repayment of Principal'!G29),0)</f>
        <v>108.76</v>
      </c>
      <c r="G29" s="61">
        <f>IF('Repayment of Principal'!H9&lt;&gt;0,G27-('Repayment of Principal'!H9+'Repayment of Principal'!H29),0)</f>
        <v>46.39</v>
      </c>
      <c r="H29" s="61">
        <f>IF('Repayment of Principal'!I9&lt;&gt;0,H27-('Repayment of Principal'!I9+'Repayment of Principal'!I29),0)</f>
        <v>-19.57</v>
      </c>
      <c r="I29" s="61">
        <f>IF('Repayment of Principal'!J9&lt;&gt;0,I27-('Repayment of Principal'!J9+'Repayment of Principal'!J29),0)</f>
        <v>-89.34</v>
      </c>
      <c r="J29" s="61">
        <f>IF('Repayment of Principal'!K9&lt;&gt;0,J27-('Repayment of Principal'!K9+'Repayment of Principal'!K29),0)</f>
        <v>-163.11</v>
      </c>
      <c r="K29" s="61">
        <f>IF('Repayment of Principal'!L9&lt;&gt;0,K27-('Repayment of Principal'!L9+'Repayment of Principal'!L29),0)</f>
        <v>1112.46</v>
      </c>
      <c r="L29" s="61">
        <f>IF('Repayment of Principal'!M9&lt;&gt;0,L27-('Repayment of Principal'!M9+'Repayment of Principal'!M29),0)</f>
        <v>0</v>
      </c>
      <c r="M29" s="61">
        <f>IF('Repayment of Principal'!N9&lt;&gt;0,M27-('Repayment of Principal'!N9+'Repayment of Principal'!N29),0)</f>
        <v>0</v>
      </c>
      <c r="N29" s="61">
        <f>IF('Repayment of Principal'!O9&lt;&gt;0,N27-('Repayment of Principal'!O9+'Repayment of Principal'!O29),0)</f>
        <v>0</v>
      </c>
      <c r="O29" s="61">
        <f>IF('Repayment of Principal'!P9&lt;&gt;0,O27-('Repayment of Principal'!P9+'Repayment of Principal'!P29),0)</f>
        <v>0</v>
      </c>
      <c r="P29" s="61">
        <f>IF('Repayment of Principal'!Q9&lt;&gt;0,P27-('Repayment of Principal'!Q9+'Repayment of Principal'!Q29),0)</f>
        <v>0</v>
      </c>
      <c r="Q29" s="61">
        <f>IF('Repayment of Principal'!R9&lt;&gt;0,Q27-('Repayment of Principal'!R9+'Repayment of Principal'!R29),0)</f>
        <v>0</v>
      </c>
      <c r="R29" s="61">
        <f>IF('Repayment of Principal'!S9&lt;&gt;0,R27-('Repayment of Principal'!S9+'Repayment of Principal'!S29),0)</f>
        <v>0</v>
      </c>
      <c r="S29" s="61">
        <f>IF('Repayment of Principal'!T9&lt;&gt;0,S27-('Repayment of Principal'!T9+'Repayment of Principal'!T29),0)</f>
        <v>0</v>
      </c>
      <c r="T29" s="61">
        <f>IF('Repayment of Principal'!U9&lt;&gt;0,T27-('Repayment of Principal'!U9+'Repayment of Principal'!U29),0)</f>
        <v>0</v>
      </c>
      <c r="U29" s="61">
        <f>IF('Repayment of Principal'!V9&lt;&gt;0,U27-('Repayment of Principal'!V9+'Repayment of Principal'!V29),0)</f>
        <v>0</v>
      </c>
      <c r="V29" s="61">
        <f>IF('Repayment of Principal'!W9&lt;&gt;0,V27-('Repayment of Principal'!W9+'Repayment of Principal'!W29),0)</f>
        <v>0</v>
      </c>
      <c r="W29" s="61">
        <f>IF('Repayment of Principal'!X9&lt;&gt;0,W27-('Repayment of Principal'!X9+'Repayment of Principal'!X29),0)</f>
        <v>0</v>
      </c>
      <c r="X29" s="61">
        <f>IF('Repayment of Principal'!Y9&lt;&gt;0,X27-('Repayment of Principal'!Y9+'Repayment of Principal'!Y29),0)</f>
        <v>0</v>
      </c>
      <c r="Y29" s="61">
        <f>IF('Repayment of Principal'!Z9&lt;&gt;0,Y27-('Repayment of Principal'!Z9+'Repayment of Principal'!Z29),0)</f>
        <v>0</v>
      </c>
      <c r="Z29" s="61">
        <f>IF('Repayment of Principal'!AA9&lt;&gt;0,Z27-('Repayment of Principal'!AA9+'Repayment of Principal'!AA29),0)</f>
        <v>0</v>
      </c>
      <c r="AA29" s="61">
        <f>IF('Repayment of Principal'!AB9&lt;&gt;0,AA27-('Repayment of Principal'!AB9+'Repayment of Principal'!AB29),0)</f>
        <v>0</v>
      </c>
      <c r="AB29" s="61">
        <f>IF('Repayment of Principal'!AC9&lt;&gt;0,AB27-('Repayment of Principal'!AC9+'Repayment of Principal'!AC29),0)</f>
        <v>0</v>
      </c>
      <c r="AC29" s="61">
        <f>IF('Repayment of Principal'!AD9&lt;&gt;0,AC27-('Repayment of Principal'!AD9+'Repayment of Principal'!AD29),0)</f>
        <v>0</v>
      </c>
      <c r="AD29" s="61">
        <f>IF('Repayment of Principal'!AE9&lt;&gt;0,AD27-('Repayment of Principal'!AE9+'Repayment of Principal'!AE29),0)</f>
        <v>0</v>
      </c>
      <c r="AE29" s="61">
        <f>IF('Repayment of Principal'!AF9&lt;&gt;0,AE27-('Repayment of Principal'!AF9+'Repayment of Principal'!AF29),0)</f>
        <v>0</v>
      </c>
      <c r="AF29" s="61">
        <f>IF('Repayment of Principal'!AG9&lt;&gt;0,AF27-('Repayment of Principal'!AG9+'Repayment of Principal'!AG29),0)</f>
        <v>0</v>
      </c>
      <c r="AG29" s="61">
        <f>IF('Repayment of Principal'!AH9&lt;&gt;0,AG27-('Repayment of Principal'!AH9+'Repayment of Principal'!AH29),0)</f>
        <v>0</v>
      </c>
    </row>
    <row r="30" ht="12.75" customHeight="1">
      <c r="C30" s="73"/>
    </row>
    <row r="32" spans="3:4" ht="12.75" customHeight="1">
      <c r="C32" s="73"/>
      <c r="D32" s="73"/>
    </row>
    <row r="34" ht="12.75" customHeight="1">
      <c r="C34" s="73"/>
    </row>
  </sheetData>
  <sheetProtection/>
  <mergeCells count="8">
    <mergeCell ref="C4:C5"/>
    <mergeCell ref="D4:M4"/>
    <mergeCell ref="A2:B2"/>
    <mergeCell ref="A6:A11"/>
    <mergeCell ref="A20:A23"/>
    <mergeCell ref="A4:A5"/>
    <mergeCell ref="B4:B5"/>
    <mergeCell ref="A13:A1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 xml:space="preserve">&amp;C&amp;P+8 </oddFoot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2:AH33"/>
  <sheetViews>
    <sheetView showGridLines="0" showZeros="0" zoomScale="90" zoomScaleNormal="90" zoomScalePageLayoutView="0" workbookViewId="0" topLeftCell="H1">
      <selection activeCell="B27" sqref="B27"/>
    </sheetView>
  </sheetViews>
  <sheetFormatPr defaultColWidth="8.75390625" defaultRowHeight="12.75" customHeight="1"/>
  <cols>
    <col min="1" max="1" width="5.75390625" style="51" customWidth="1"/>
    <col min="2" max="2" width="73.375" style="17" customWidth="1"/>
    <col min="3" max="3" width="8.75390625" style="51" customWidth="1"/>
    <col min="4" max="12" width="9.75390625" style="51" customWidth="1"/>
    <col min="13" max="14" width="8.875" style="51" customWidth="1"/>
    <col min="15" max="16384" width="8.75390625" style="51" customWidth="1"/>
  </cols>
  <sheetData>
    <row r="2" spans="1:34" s="131" customFormat="1" ht="19.5" customHeight="1">
      <c r="A2" s="181" t="s">
        <v>126</v>
      </c>
      <c r="B2" s="181"/>
      <c r="C2" s="50" t="str">
        <f>Instruction!A16&amp;"-Statement of Repayment of Loan and Payment of Interest"</f>
        <v>Jinshizi Hydropower Station Finance Analysis-Statement of Repayment of Loan and Payment of Interest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tr">
        <f>C2</f>
        <v>Jinshizi Hydropower Station Finance Analysis-Statement of Repayment of Loan and Payment of Interest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ht="12.75" customHeight="1">
      <c r="A3" s="131"/>
    </row>
    <row r="4" spans="1:34" ht="12.75" customHeight="1">
      <c r="A4" s="189" t="s">
        <v>41</v>
      </c>
      <c r="B4" s="189" t="s">
        <v>42</v>
      </c>
      <c r="C4" s="189" t="s">
        <v>127</v>
      </c>
      <c r="D4" s="172" t="s">
        <v>97</v>
      </c>
      <c r="E4" s="172" t="s">
        <v>45</v>
      </c>
      <c r="F4" s="172"/>
      <c r="G4" s="172"/>
      <c r="H4" s="172"/>
      <c r="I4" s="172"/>
      <c r="J4" s="172"/>
      <c r="K4" s="172"/>
      <c r="L4" s="172"/>
      <c r="M4" s="172" t="str">
        <f>E4</f>
        <v>Operation Period (year)</v>
      </c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4" t="str">
        <f>M4</f>
        <v>Operation Period (year)</v>
      </c>
      <c r="Y4" s="175"/>
      <c r="Z4" s="175"/>
      <c r="AA4" s="175"/>
      <c r="AB4" s="175"/>
      <c r="AC4" s="175"/>
      <c r="AD4" s="175"/>
      <c r="AE4" s="175"/>
      <c r="AF4" s="175"/>
      <c r="AG4" s="175"/>
      <c r="AH4" s="176"/>
    </row>
    <row r="5" spans="1:34" ht="12.75" customHeight="1">
      <c r="A5" s="190"/>
      <c r="B5" s="190"/>
      <c r="C5" s="190"/>
      <c r="D5" s="172"/>
      <c r="E5" s="18">
        <f>'Cash Flow'!G5</f>
        <v>1</v>
      </c>
      <c r="F5" s="18">
        <f>'Cash Flow'!H5</f>
        <v>2</v>
      </c>
      <c r="G5" s="18">
        <f>'Cash Flow'!I5</f>
        <v>3</v>
      </c>
      <c r="H5" s="18">
        <f>'Cash Flow'!J5</f>
        <v>4</v>
      </c>
      <c r="I5" s="18">
        <f>'Cash Flow'!K5</f>
        <v>5</v>
      </c>
      <c r="J5" s="18">
        <f>'Cash Flow'!L5</f>
        <v>6</v>
      </c>
      <c r="K5" s="18">
        <f>'Cash Flow'!M5</f>
        <v>7</v>
      </c>
      <c r="L5" s="18">
        <f>'Cash Flow'!N5</f>
        <v>8</v>
      </c>
      <c r="M5" s="18">
        <f>'Cash Flow'!O5</f>
        <v>9</v>
      </c>
      <c r="N5" s="18">
        <f>'Cash Flow'!P5</f>
        <v>10</v>
      </c>
      <c r="O5" s="18">
        <f>'Cash Flow'!Q5</f>
        <v>11</v>
      </c>
      <c r="P5" s="18">
        <f>'Cash Flow'!R5</f>
        <v>12</v>
      </c>
      <c r="Q5" s="18">
        <f>'Cash Flow'!S5</f>
        <v>13</v>
      </c>
      <c r="R5" s="18">
        <f>'Cash Flow'!T5</f>
        <v>14</v>
      </c>
      <c r="S5" s="18">
        <f>'Cash Flow'!U5</f>
        <v>15</v>
      </c>
      <c r="T5" s="18">
        <f>'Cash Flow'!V5</f>
        <v>16</v>
      </c>
      <c r="U5" s="18">
        <f>'Cash Flow'!W5</f>
        <v>17</v>
      </c>
      <c r="V5" s="18">
        <f>'Cash Flow'!X5</f>
        <v>18</v>
      </c>
      <c r="W5" s="18">
        <f>'Cash Flow'!Y5</f>
        <v>19</v>
      </c>
      <c r="X5" s="18">
        <f>'Cash Flow'!Z5</f>
        <v>20</v>
      </c>
      <c r="Y5" s="18">
        <f>'Cash Flow'!AA5</f>
        <v>21</v>
      </c>
      <c r="Z5" s="18">
        <f>'Cash Flow'!AB5</f>
        <v>22</v>
      </c>
      <c r="AA5" s="18">
        <f>'Cash Flow'!AC5</f>
        <v>23</v>
      </c>
      <c r="AB5" s="18">
        <f>'Cash Flow'!AD5</f>
        <v>24</v>
      </c>
      <c r="AC5" s="18">
        <f>'Cash Flow'!AE5</f>
        <v>25</v>
      </c>
      <c r="AD5" s="18">
        <f>'Cash Flow'!AF5</f>
        <v>26</v>
      </c>
      <c r="AE5" s="18">
        <f>'Cash Flow'!AG5</f>
        <v>27</v>
      </c>
      <c r="AF5" s="18">
        <f>'Cash Flow'!AH5</f>
        <v>28</v>
      </c>
      <c r="AG5" s="18">
        <f>'Cash Flow'!AI5</f>
        <v>29</v>
      </c>
      <c r="AH5" s="18">
        <f>'Cash Flow'!AJ5</f>
        <v>30</v>
      </c>
    </row>
    <row r="6" spans="1:34" ht="12.75" customHeight="1">
      <c r="A6" s="36">
        <v>1</v>
      </c>
      <c r="B6" s="13" t="s">
        <v>128</v>
      </c>
      <c r="C6" s="129">
        <f>IF(E7=0,0,'Investment Plan'!C10)</f>
        <v>0.0576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ht="12.75" customHeight="1">
      <c r="A7" s="36">
        <v>1.1</v>
      </c>
      <c r="B7" s="13" t="s">
        <v>384</v>
      </c>
      <c r="C7" s="18"/>
      <c r="D7" s="60"/>
      <c r="E7" s="61">
        <f>'Investment Plan'!C28</f>
        <v>8145.67</v>
      </c>
      <c r="F7" s="61">
        <f>IF(E11&lt;0,0,E11)</f>
        <v>7177.6</v>
      </c>
      <c r="G7" s="61">
        <f aca="true" t="shared" si="0" ref="G7:AH7">IF(F11&lt;0,0,F11)</f>
        <v>6153.77</v>
      </c>
      <c r="H7" s="61">
        <f t="shared" si="0"/>
        <v>5070.97</v>
      </c>
      <c r="I7" s="61">
        <f t="shared" si="0"/>
        <v>3925.8</v>
      </c>
      <c r="J7" s="61">
        <f t="shared" si="0"/>
        <v>2714.67</v>
      </c>
      <c r="K7" s="61">
        <f t="shared" si="0"/>
        <v>1433.77</v>
      </c>
      <c r="L7" s="61">
        <f t="shared" si="0"/>
        <v>79.1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ht="12.75" customHeight="1">
      <c r="A8" s="36">
        <v>1.2</v>
      </c>
      <c r="B8" s="13" t="s">
        <v>385</v>
      </c>
      <c r="C8" s="18"/>
      <c r="D8" s="60">
        <f>SUM(E8:AH8)</f>
        <v>10508.4</v>
      </c>
      <c r="E8" s="61">
        <f>SUM(E9:E10)</f>
        <v>1437.26</v>
      </c>
      <c r="F8" s="61">
        <f>SUM(F9:F10)</f>
        <v>1437.26</v>
      </c>
      <c r="G8" s="61">
        <f>SUM(G9:G10)</f>
        <v>1437.26</v>
      </c>
      <c r="H8" s="61">
        <f>SUM(H9:H10)</f>
        <v>1437.26</v>
      </c>
      <c r="I8" s="61">
        <f aca="true" t="shared" si="1" ref="I8:AH8">SUM(I9:I10)</f>
        <v>1437.26</v>
      </c>
      <c r="J8" s="61">
        <f t="shared" si="1"/>
        <v>1437.26</v>
      </c>
      <c r="K8" s="61">
        <f t="shared" si="1"/>
        <v>1437.26</v>
      </c>
      <c r="L8" s="61">
        <f t="shared" si="1"/>
        <v>447.58</v>
      </c>
      <c r="M8" s="61">
        <f t="shared" si="1"/>
        <v>0</v>
      </c>
      <c r="N8" s="61">
        <f t="shared" si="1"/>
        <v>0</v>
      </c>
      <c r="O8" s="61">
        <f t="shared" si="1"/>
        <v>0</v>
      </c>
      <c r="P8" s="61">
        <f t="shared" si="1"/>
        <v>0</v>
      </c>
      <c r="Q8" s="61">
        <f t="shared" si="1"/>
        <v>0</v>
      </c>
      <c r="R8" s="61">
        <f t="shared" si="1"/>
        <v>0</v>
      </c>
      <c r="S8" s="61">
        <f t="shared" si="1"/>
        <v>0</v>
      </c>
      <c r="T8" s="61">
        <f t="shared" si="1"/>
        <v>0</v>
      </c>
      <c r="U8" s="61">
        <f t="shared" si="1"/>
        <v>0</v>
      </c>
      <c r="V8" s="61">
        <f t="shared" si="1"/>
        <v>0</v>
      </c>
      <c r="W8" s="61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61">
        <f t="shared" si="1"/>
        <v>0</v>
      </c>
      <c r="AB8" s="61">
        <f t="shared" si="1"/>
        <v>0</v>
      </c>
      <c r="AC8" s="61">
        <f t="shared" si="1"/>
        <v>0</v>
      </c>
      <c r="AD8" s="61">
        <f t="shared" si="1"/>
        <v>0</v>
      </c>
      <c r="AE8" s="61">
        <f t="shared" si="1"/>
        <v>0</v>
      </c>
      <c r="AF8" s="61">
        <f t="shared" si="1"/>
        <v>0</v>
      </c>
      <c r="AG8" s="61">
        <f t="shared" si="1"/>
        <v>0</v>
      </c>
      <c r="AH8" s="61">
        <f t="shared" si="1"/>
        <v>0</v>
      </c>
    </row>
    <row r="9" spans="1:34" ht="12.75" customHeight="1">
      <c r="A9" s="36" t="s">
        <v>129</v>
      </c>
      <c r="B9" s="13" t="s">
        <v>386</v>
      </c>
      <c r="C9" s="18"/>
      <c r="D9" s="60">
        <f>SUM(E9:AH9)</f>
        <v>8509.59</v>
      </c>
      <c r="E9" s="61">
        <f>IF(E7&lt;=0,0,E20-E10-E15)</f>
        <v>968.07</v>
      </c>
      <c r="F9" s="61">
        <f aca="true" t="shared" si="2" ref="F9:AH9">IF(F7&lt;=0,0,F20-F10-F15)</f>
        <v>1023.83</v>
      </c>
      <c r="G9" s="61">
        <f t="shared" si="2"/>
        <v>1082.8</v>
      </c>
      <c r="H9" s="61">
        <f t="shared" si="2"/>
        <v>1145.17</v>
      </c>
      <c r="I9" s="61">
        <f t="shared" si="2"/>
        <v>1211.13</v>
      </c>
      <c r="J9" s="61">
        <f t="shared" si="2"/>
        <v>1280.9</v>
      </c>
      <c r="K9" s="61">
        <f t="shared" si="2"/>
        <v>1354.67</v>
      </c>
      <c r="L9" s="61">
        <f t="shared" si="2"/>
        <v>443.02</v>
      </c>
      <c r="M9" s="61">
        <f t="shared" si="2"/>
        <v>0</v>
      </c>
      <c r="N9" s="61">
        <f t="shared" si="2"/>
        <v>0</v>
      </c>
      <c r="O9" s="61">
        <f t="shared" si="2"/>
        <v>0</v>
      </c>
      <c r="P9" s="61">
        <f t="shared" si="2"/>
        <v>0</v>
      </c>
      <c r="Q9" s="61">
        <f t="shared" si="2"/>
        <v>0</v>
      </c>
      <c r="R9" s="61">
        <f t="shared" si="2"/>
        <v>0</v>
      </c>
      <c r="S9" s="61">
        <f t="shared" si="2"/>
        <v>0</v>
      </c>
      <c r="T9" s="61">
        <f t="shared" si="2"/>
        <v>0</v>
      </c>
      <c r="U9" s="61">
        <f t="shared" si="2"/>
        <v>0</v>
      </c>
      <c r="V9" s="61">
        <f t="shared" si="2"/>
        <v>0</v>
      </c>
      <c r="W9" s="61">
        <f t="shared" si="2"/>
        <v>0</v>
      </c>
      <c r="X9" s="61">
        <f t="shared" si="2"/>
        <v>0</v>
      </c>
      <c r="Y9" s="61">
        <f t="shared" si="2"/>
        <v>0</v>
      </c>
      <c r="Z9" s="61">
        <f t="shared" si="2"/>
        <v>0</v>
      </c>
      <c r="AA9" s="61">
        <f t="shared" si="2"/>
        <v>0</v>
      </c>
      <c r="AB9" s="61">
        <f t="shared" si="2"/>
        <v>0</v>
      </c>
      <c r="AC9" s="61">
        <f t="shared" si="2"/>
        <v>0</v>
      </c>
      <c r="AD9" s="61">
        <f t="shared" si="2"/>
        <v>0</v>
      </c>
      <c r="AE9" s="61">
        <f t="shared" si="2"/>
        <v>0</v>
      </c>
      <c r="AF9" s="61">
        <f t="shared" si="2"/>
        <v>0</v>
      </c>
      <c r="AG9" s="61">
        <f t="shared" si="2"/>
        <v>0</v>
      </c>
      <c r="AH9" s="61">
        <f t="shared" si="2"/>
        <v>0</v>
      </c>
    </row>
    <row r="10" spans="1:34" ht="12.75" customHeight="1">
      <c r="A10" s="36" t="s">
        <v>130</v>
      </c>
      <c r="B10" s="13" t="s">
        <v>387</v>
      </c>
      <c r="C10" s="61"/>
      <c r="D10" s="60">
        <f>SUM(E10:AH10)</f>
        <v>1998.81</v>
      </c>
      <c r="E10" s="61">
        <f>E7*$C6</f>
        <v>469.19</v>
      </c>
      <c r="F10" s="61">
        <f>F7*$C6</f>
        <v>413.43</v>
      </c>
      <c r="G10" s="61">
        <f>G7*$C6</f>
        <v>354.46</v>
      </c>
      <c r="H10" s="61">
        <f>H7*$C6</f>
        <v>292.09</v>
      </c>
      <c r="I10" s="61">
        <f aca="true" t="shared" si="3" ref="I10:AH10">I7*$C6</f>
        <v>226.13</v>
      </c>
      <c r="J10" s="61">
        <f t="shared" si="3"/>
        <v>156.36</v>
      </c>
      <c r="K10" s="61">
        <f t="shared" si="3"/>
        <v>82.59</v>
      </c>
      <c r="L10" s="61">
        <f t="shared" si="3"/>
        <v>4.56</v>
      </c>
      <c r="M10" s="61">
        <f t="shared" si="3"/>
        <v>0</v>
      </c>
      <c r="N10" s="61">
        <f t="shared" si="3"/>
        <v>0</v>
      </c>
      <c r="O10" s="61">
        <f t="shared" si="3"/>
        <v>0</v>
      </c>
      <c r="P10" s="61">
        <f t="shared" si="3"/>
        <v>0</v>
      </c>
      <c r="Q10" s="61">
        <f t="shared" si="3"/>
        <v>0</v>
      </c>
      <c r="R10" s="61">
        <f t="shared" si="3"/>
        <v>0</v>
      </c>
      <c r="S10" s="61">
        <f t="shared" si="3"/>
        <v>0</v>
      </c>
      <c r="T10" s="61">
        <f t="shared" si="3"/>
        <v>0</v>
      </c>
      <c r="U10" s="61">
        <f t="shared" si="3"/>
        <v>0</v>
      </c>
      <c r="V10" s="61">
        <f t="shared" si="3"/>
        <v>0</v>
      </c>
      <c r="W10" s="61">
        <f t="shared" si="3"/>
        <v>0</v>
      </c>
      <c r="X10" s="61">
        <f t="shared" si="3"/>
        <v>0</v>
      </c>
      <c r="Y10" s="61">
        <f t="shared" si="3"/>
        <v>0</v>
      </c>
      <c r="Z10" s="61">
        <f t="shared" si="3"/>
        <v>0</v>
      </c>
      <c r="AA10" s="61">
        <f t="shared" si="3"/>
        <v>0</v>
      </c>
      <c r="AB10" s="61">
        <f t="shared" si="3"/>
        <v>0</v>
      </c>
      <c r="AC10" s="61">
        <f t="shared" si="3"/>
        <v>0</v>
      </c>
      <c r="AD10" s="61">
        <f t="shared" si="3"/>
        <v>0</v>
      </c>
      <c r="AE10" s="61">
        <f t="shared" si="3"/>
        <v>0</v>
      </c>
      <c r="AF10" s="61">
        <f t="shared" si="3"/>
        <v>0</v>
      </c>
      <c r="AG10" s="61">
        <f t="shared" si="3"/>
        <v>0</v>
      </c>
      <c r="AH10" s="61">
        <f t="shared" si="3"/>
        <v>0</v>
      </c>
    </row>
    <row r="11" spans="1:34" ht="12.75" customHeight="1">
      <c r="A11" s="36"/>
      <c r="B11" s="13" t="s">
        <v>388</v>
      </c>
      <c r="C11" s="18"/>
      <c r="D11" s="60"/>
      <c r="E11" s="61">
        <f>(E7+E10)-E8</f>
        <v>7177.6</v>
      </c>
      <c r="F11" s="61">
        <f>(F7+F10)-F8</f>
        <v>6153.77</v>
      </c>
      <c r="G11" s="61">
        <f>(G7+G10)-G8</f>
        <v>5070.97</v>
      </c>
      <c r="H11" s="61">
        <f>(H7+H10)-H8</f>
        <v>3925.8</v>
      </c>
      <c r="I11" s="61">
        <f aca="true" t="shared" si="4" ref="I11:AH11">(I7+I10)-I8</f>
        <v>2714.67</v>
      </c>
      <c r="J11" s="61">
        <f t="shared" si="4"/>
        <v>1433.77</v>
      </c>
      <c r="K11" s="61">
        <f t="shared" si="4"/>
        <v>79.1</v>
      </c>
      <c r="L11" s="61">
        <f t="shared" si="4"/>
        <v>-363.92</v>
      </c>
      <c r="M11" s="61">
        <f t="shared" si="4"/>
        <v>0</v>
      </c>
      <c r="N11" s="61">
        <f t="shared" si="4"/>
        <v>0</v>
      </c>
      <c r="O11" s="61">
        <f t="shared" si="4"/>
        <v>0</v>
      </c>
      <c r="P11" s="61">
        <f t="shared" si="4"/>
        <v>0</v>
      </c>
      <c r="Q11" s="61">
        <f t="shared" si="4"/>
        <v>0</v>
      </c>
      <c r="R11" s="61">
        <f t="shared" si="4"/>
        <v>0</v>
      </c>
      <c r="S11" s="61">
        <f t="shared" si="4"/>
        <v>0</v>
      </c>
      <c r="T11" s="61">
        <f t="shared" si="4"/>
        <v>0</v>
      </c>
      <c r="U11" s="61">
        <f t="shared" si="4"/>
        <v>0</v>
      </c>
      <c r="V11" s="61">
        <f t="shared" si="4"/>
        <v>0</v>
      </c>
      <c r="W11" s="61">
        <f t="shared" si="4"/>
        <v>0</v>
      </c>
      <c r="X11" s="61">
        <f t="shared" si="4"/>
        <v>0</v>
      </c>
      <c r="Y11" s="61">
        <f t="shared" si="4"/>
        <v>0</v>
      </c>
      <c r="Z11" s="61">
        <f t="shared" si="4"/>
        <v>0</v>
      </c>
      <c r="AA11" s="61">
        <f t="shared" si="4"/>
        <v>0</v>
      </c>
      <c r="AB11" s="61">
        <f t="shared" si="4"/>
        <v>0</v>
      </c>
      <c r="AC11" s="61">
        <f t="shared" si="4"/>
        <v>0</v>
      </c>
      <c r="AD11" s="61">
        <f t="shared" si="4"/>
        <v>0</v>
      </c>
      <c r="AE11" s="61">
        <f t="shared" si="4"/>
        <v>0</v>
      </c>
      <c r="AF11" s="61">
        <f t="shared" si="4"/>
        <v>0</v>
      </c>
      <c r="AG11" s="61">
        <f t="shared" si="4"/>
        <v>0</v>
      </c>
      <c r="AH11" s="61">
        <f t="shared" si="4"/>
        <v>0</v>
      </c>
    </row>
    <row r="12" spans="1:34" ht="12.75" customHeight="1">
      <c r="A12" s="36"/>
      <c r="B12" s="36"/>
      <c r="C12" s="18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 customHeight="1">
      <c r="A13" s="36">
        <v>1</v>
      </c>
      <c r="B13" s="13" t="s">
        <v>131</v>
      </c>
      <c r="C13" s="129">
        <f>'Investment Plan'!C11</f>
        <v>0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ht="12.75" customHeight="1">
      <c r="A14" s="36">
        <v>1.1</v>
      </c>
      <c r="B14" s="13" t="s">
        <v>384</v>
      </c>
      <c r="C14" s="18"/>
      <c r="D14" s="60"/>
      <c r="E14" s="61">
        <f>IF(E5&lt;&gt;0,'Investment Plan'!C31,0)</f>
        <v>0</v>
      </c>
      <c r="F14" s="61">
        <f>IF(F5&lt;&gt;0,E18,0)</f>
        <v>0</v>
      </c>
      <c r="G14" s="61">
        <f aca="true" t="shared" si="5" ref="G14:AH14">IF(G5&lt;&gt;0,F18,0)</f>
        <v>0</v>
      </c>
      <c r="H14" s="61">
        <f t="shared" si="5"/>
        <v>0</v>
      </c>
      <c r="I14" s="61">
        <f t="shared" si="5"/>
        <v>0</v>
      </c>
      <c r="J14" s="61">
        <f t="shared" si="5"/>
        <v>0</v>
      </c>
      <c r="K14" s="61">
        <f t="shared" si="5"/>
        <v>0</v>
      </c>
      <c r="L14" s="61">
        <f t="shared" si="5"/>
        <v>0</v>
      </c>
      <c r="M14" s="61">
        <f t="shared" si="5"/>
        <v>0</v>
      </c>
      <c r="N14" s="61">
        <f t="shared" si="5"/>
        <v>0</v>
      </c>
      <c r="O14" s="61">
        <f t="shared" si="5"/>
        <v>0</v>
      </c>
      <c r="P14" s="61">
        <f t="shared" si="5"/>
        <v>0</v>
      </c>
      <c r="Q14" s="61">
        <f t="shared" si="5"/>
        <v>0</v>
      </c>
      <c r="R14" s="61">
        <f t="shared" si="5"/>
        <v>0</v>
      </c>
      <c r="S14" s="61">
        <f t="shared" si="5"/>
        <v>0</v>
      </c>
      <c r="T14" s="61">
        <f t="shared" si="5"/>
        <v>0</v>
      </c>
      <c r="U14" s="61">
        <f t="shared" si="5"/>
        <v>0</v>
      </c>
      <c r="V14" s="61">
        <f t="shared" si="5"/>
        <v>0</v>
      </c>
      <c r="W14" s="61">
        <f t="shared" si="5"/>
        <v>0</v>
      </c>
      <c r="X14" s="61">
        <f t="shared" si="5"/>
        <v>0</v>
      </c>
      <c r="Y14" s="61">
        <f t="shared" si="5"/>
        <v>0</v>
      </c>
      <c r="Z14" s="61">
        <f t="shared" si="5"/>
        <v>0</v>
      </c>
      <c r="AA14" s="61">
        <f t="shared" si="5"/>
        <v>0</v>
      </c>
      <c r="AB14" s="61">
        <f t="shared" si="5"/>
        <v>0</v>
      </c>
      <c r="AC14" s="61">
        <f t="shared" si="5"/>
        <v>0</v>
      </c>
      <c r="AD14" s="61">
        <f t="shared" si="5"/>
        <v>0</v>
      </c>
      <c r="AE14" s="61">
        <f t="shared" si="5"/>
        <v>0</v>
      </c>
      <c r="AF14" s="61">
        <f t="shared" si="5"/>
        <v>0</v>
      </c>
      <c r="AG14" s="61">
        <f t="shared" si="5"/>
        <v>0</v>
      </c>
      <c r="AH14" s="61">
        <f t="shared" si="5"/>
        <v>0</v>
      </c>
    </row>
    <row r="15" spans="1:34" ht="12.75" customHeight="1">
      <c r="A15" s="36">
        <v>1.2</v>
      </c>
      <c r="B15" s="13" t="s">
        <v>385</v>
      </c>
      <c r="C15" s="18"/>
      <c r="D15" s="60">
        <f>SUM(E15:AH15)</f>
        <v>0</v>
      </c>
      <c r="E15" s="61">
        <f aca="true" t="shared" si="6" ref="E15:AH15">SUM(E16:E17)</f>
        <v>0</v>
      </c>
      <c r="F15" s="61">
        <f t="shared" si="6"/>
        <v>0</v>
      </c>
      <c r="G15" s="61">
        <f t="shared" si="6"/>
        <v>0</v>
      </c>
      <c r="H15" s="61">
        <f t="shared" si="6"/>
        <v>0</v>
      </c>
      <c r="I15" s="61">
        <f t="shared" si="6"/>
        <v>0</v>
      </c>
      <c r="J15" s="61">
        <f t="shared" si="6"/>
        <v>0</v>
      </c>
      <c r="K15" s="61">
        <f t="shared" si="6"/>
        <v>0</v>
      </c>
      <c r="L15" s="61">
        <f t="shared" si="6"/>
        <v>0</v>
      </c>
      <c r="M15" s="61">
        <f t="shared" si="6"/>
        <v>0</v>
      </c>
      <c r="N15" s="61">
        <f t="shared" si="6"/>
        <v>0</v>
      </c>
      <c r="O15" s="61">
        <f t="shared" si="6"/>
        <v>0</v>
      </c>
      <c r="P15" s="61">
        <f t="shared" si="6"/>
        <v>0</v>
      </c>
      <c r="Q15" s="61">
        <f t="shared" si="6"/>
        <v>0</v>
      </c>
      <c r="R15" s="61">
        <f t="shared" si="6"/>
        <v>0</v>
      </c>
      <c r="S15" s="61">
        <f t="shared" si="6"/>
        <v>0</v>
      </c>
      <c r="T15" s="61">
        <f t="shared" si="6"/>
        <v>0</v>
      </c>
      <c r="U15" s="61">
        <f t="shared" si="6"/>
        <v>0</v>
      </c>
      <c r="V15" s="61">
        <f t="shared" si="6"/>
        <v>0</v>
      </c>
      <c r="W15" s="61">
        <f t="shared" si="6"/>
        <v>0</v>
      </c>
      <c r="X15" s="61">
        <f t="shared" si="6"/>
        <v>0</v>
      </c>
      <c r="Y15" s="61">
        <f t="shared" si="6"/>
        <v>0</v>
      </c>
      <c r="Z15" s="61">
        <f t="shared" si="6"/>
        <v>0</v>
      </c>
      <c r="AA15" s="61">
        <f t="shared" si="6"/>
        <v>0</v>
      </c>
      <c r="AB15" s="61">
        <f t="shared" si="6"/>
        <v>0</v>
      </c>
      <c r="AC15" s="61">
        <f t="shared" si="6"/>
        <v>0</v>
      </c>
      <c r="AD15" s="61">
        <f t="shared" si="6"/>
        <v>0</v>
      </c>
      <c r="AE15" s="61">
        <f t="shared" si="6"/>
        <v>0</v>
      </c>
      <c r="AF15" s="61">
        <f t="shared" si="6"/>
        <v>0</v>
      </c>
      <c r="AG15" s="61">
        <f t="shared" si="6"/>
        <v>0</v>
      </c>
      <c r="AH15" s="61">
        <f t="shared" si="6"/>
        <v>0</v>
      </c>
    </row>
    <row r="16" spans="1:34" ht="12.75" customHeight="1">
      <c r="A16" s="36" t="s">
        <v>129</v>
      </c>
      <c r="B16" s="13" t="s">
        <v>386</v>
      </c>
      <c r="C16" s="18">
        <v>0</v>
      </c>
      <c r="D16" s="60">
        <f>SUM(E16:AH16)</f>
        <v>0</v>
      </c>
      <c r="E16" s="61">
        <f>IF(E5='Investment Plan'!$C5,'Investment Plan'!$C31,0)</f>
        <v>0</v>
      </c>
      <c r="F16" s="61">
        <f>IF(F5='Investment Plan'!$C5,'Investment Plan'!$C31,0)</f>
        <v>0</v>
      </c>
      <c r="G16" s="61">
        <f>IF(G5='Investment Plan'!$C5,'Investment Plan'!$C31,0)</f>
        <v>0</v>
      </c>
      <c r="H16" s="61">
        <f>IF(H5='Investment Plan'!$C5,'Investment Plan'!$C31,0)</f>
        <v>0</v>
      </c>
      <c r="I16" s="61">
        <f>IF(I5='Investment Plan'!$C5,'Investment Plan'!$C31,0)</f>
        <v>0</v>
      </c>
      <c r="J16" s="61">
        <f>IF(J5='Investment Plan'!$C5,'Investment Plan'!$C31,0)</f>
        <v>0</v>
      </c>
      <c r="K16" s="61">
        <f>IF(K5='Investment Plan'!$C5,'Investment Plan'!$C31,0)</f>
        <v>0</v>
      </c>
      <c r="L16" s="61">
        <f>IF(L5='Investment Plan'!$C5,'Investment Plan'!$C31,0)</f>
        <v>0</v>
      </c>
      <c r="M16" s="61">
        <f>IF(M5='Investment Plan'!$C5,'Investment Plan'!$C31,0)</f>
        <v>0</v>
      </c>
      <c r="N16" s="61">
        <f>IF(N5='Investment Plan'!$C5,'Investment Plan'!$C31,0)</f>
        <v>0</v>
      </c>
      <c r="O16" s="61">
        <f>IF(O5='Investment Plan'!$C5,'Investment Plan'!$C31,0)</f>
        <v>0</v>
      </c>
      <c r="P16" s="61">
        <f>IF(P5='Investment Plan'!$C5,'Investment Plan'!$C31,0)</f>
        <v>0</v>
      </c>
      <c r="Q16" s="61">
        <f>IF(Q5='Investment Plan'!$C5,'Investment Plan'!$C31,0)</f>
        <v>0</v>
      </c>
      <c r="R16" s="61">
        <f>IF(R5='Investment Plan'!$C5,'Investment Plan'!$C31,0)</f>
        <v>0</v>
      </c>
      <c r="S16" s="61">
        <f>IF(S5='Investment Plan'!$C5,'Investment Plan'!$C31,0)</f>
        <v>0</v>
      </c>
      <c r="T16" s="61">
        <f>IF(T5='Investment Plan'!$C5,'Investment Plan'!$C31,0)</f>
        <v>0</v>
      </c>
      <c r="U16" s="61">
        <f>IF(U5='Investment Plan'!$C5,'Investment Plan'!$C31,0)</f>
        <v>0</v>
      </c>
      <c r="V16" s="61">
        <f>IF(V5='Investment Plan'!$C5,'Investment Plan'!$C31,0)</f>
        <v>0</v>
      </c>
      <c r="W16" s="61">
        <f>IF(W5='Investment Plan'!$C5,'Investment Plan'!$C31,0)</f>
        <v>0</v>
      </c>
      <c r="X16" s="61">
        <f>IF(X5='Investment Plan'!$C5,'Investment Plan'!$C31,0)</f>
        <v>0</v>
      </c>
      <c r="Y16" s="61">
        <f>IF(Y5='Investment Plan'!$C5,'Investment Plan'!$C31,0)</f>
        <v>0</v>
      </c>
      <c r="Z16" s="61">
        <f>IF(Z5='Investment Plan'!$C5,'Investment Plan'!$C31,0)</f>
        <v>0</v>
      </c>
      <c r="AA16" s="61">
        <f>IF(AA5='Investment Plan'!$C5,'Investment Plan'!$C31,0)</f>
        <v>0</v>
      </c>
      <c r="AB16" s="61">
        <f>IF(AB5='Investment Plan'!$C5,'Investment Plan'!$C31,0)</f>
        <v>0</v>
      </c>
      <c r="AC16" s="61">
        <f>IF(AC5='Investment Plan'!$C5,'Investment Plan'!$C31,0)</f>
        <v>0</v>
      </c>
      <c r="AD16" s="61">
        <f>IF(AD5='Investment Plan'!$C5,'Investment Plan'!$C31,0)</f>
        <v>0</v>
      </c>
      <c r="AE16" s="61">
        <f>IF(AE5='Investment Plan'!$C5,'Investment Plan'!$C31,0)</f>
        <v>0</v>
      </c>
      <c r="AF16" s="61">
        <f>IF(AF5='Investment Plan'!$C5,'Investment Plan'!$C31,0)</f>
        <v>0</v>
      </c>
      <c r="AG16" s="61">
        <f>IF(AG5='Investment Plan'!$C5,'Investment Plan'!$C31,0)</f>
        <v>0</v>
      </c>
      <c r="AH16" s="61">
        <f>IF(AH5='Investment Plan'!$C5,'Investment Plan'!$C31,0)</f>
        <v>0</v>
      </c>
    </row>
    <row r="17" spans="1:34" ht="12.75" customHeight="1">
      <c r="A17" s="36" t="s">
        <v>130</v>
      </c>
      <c r="B17" s="13" t="s">
        <v>387</v>
      </c>
      <c r="C17" s="18"/>
      <c r="D17" s="60">
        <f>SUM(E17:AH17)</f>
        <v>0</v>
      </c>
      <c r="E17" s="61">
        <f aca="true" t="shared" si="7" ref="E17:M17">E14*$C13</f>
        <v>0</v>
      </c>
      <c r="F17" s="61">
        <f t="shared" si="7"/>
        <v>0</v>
      </c>
      <c r="G17" s="61">
        <f t="shared" si="7"/>
        <v>0</v>
      </c>
      <c r="H17" s="61">
        <f t="shared" si="7"/>
        <v>0</v>
      </c>
      <c r="I17" s="61">
        <f t="shared" si="7"/>
        <v>0</v>
      </c>
      <c r="J17" s="61">
        <f t="shared" si="7"/>
        <v>0</v>
      </c>
      <c r="K17" s="61">
        <f t="shared" si="7"/>
        <v>0</v>
      </c>
      <c r="L17" s="61">
        <f t="shared" si="7"/>
        <v>0</v>
      </c>
      <c r="M17" s="61">
        <f t="shared" si="7"/>
        <v>0</v>
      </c>
      <c r="N17" s="61">
        <f aca="true" t="shared" si="8" ref="N17:W17">N14*$C13</f>
        <v>0</v>
      </c>
      <c r="O17" s="61">
        <f t="shared" si="8"/>
        <v>0</v>
      </c>
      <c r="P17" s="61">
        <f t="shared" si="8"/>
        <v>0</v>
      </c>
      <c r="Q17" s="61">
        <f t="shared" si="8"/>
        <v>0</v>
      </c>
      <c r="R17" s="61">
        <f t="shared" si="8"/>
        <v>0</v>
      </c>
      <c r="S17" s="61">
        <f t="shared" si="8"/>
        <v>0</v>
      </c>
      <c r="T17" s="61">
        <f t="shared" si="8"/>
        <v>0</v>
      </c>
      <c r="U17" s="61">
        <f t="shared" si="8"/>
        <v>0</v>
      </c>
      <c r="V17" s="61">
        <f t="shared" si="8"/>
        <v>0</v>
      </c>
      <c r="W17" s="61">
        <f t="shared" si="8"/>
        <v>0</v>
      </c>
      <c r="X17" s="61">
        <f aca="true" t="shared" si="9" ref="X17:AH17">X14*$C13</f>
        <v>0</v>
      </c>
      <c r="Y17" s="61">
        <f t="shared" si="9"/>
        <v>0</v>
      </c>
      <c r="Z17" s="61">
        <f t="shared" si="9"/>
        <v>0</v>
      </c>
      <c r="AA17" s="61">
        <f t="shared" si="9"/>
        <v>0</v>
      </c>
      <c r="AB17" s="61">
        <f t="shared" si="9"/>
        <v>0</v>
      </c>
      <c r="AC17" s="61">
        <f t="shared" si="9"/>
        <v>0</v>
      </c>
      <c r="AD17" s="61">
        <f t="shared" si="9"/>
        <v>0</v>
      </c>
      <c r="AE17" s="61">
        <f t="shared" si="9"/>
        <v>0</v>
      </c>
      <c r="AF17" s="61">
        <f t="shared" si="9"/>
        <v>0</v>
      </c>
      <c r="AG17" s="61">
        <f t="shared" si="9"/>
        <v>0</v>
      </c>
      <c r="AH17" s="61">
        <f t="shared" si="9"/>
        <v>0</v>
      </c>
    </row>
    <row r="18" spans="1:34" ht="12.75" customHeight="1">
      <c r="A18" s="36"/>
      <c r="B18" s="13" t="s">
        <v>388</v>
      </c>
      <c r="C18" s="18"/>
      <c r="D18" s="60"/>
      <c r="E18" s="61">
        <f>E14+E17-E15</f>
        <v>0</v>
      </c>
      <c r="F18" s="61">
        <f aca="true" t="shared" si="10" ref="F18:AC18">F14+F17-F15</f>
        <v>0</v>
      </c>
      <c r="G18" s="61">
        <f t="shared" si="10"/>
        <v>0</v>
      </c>
      <c r="H18" s="61">
        <f t="shared" si="10"/>
        <v>0</v>
      </c>
      <c r="I18" s="61">
        <f t="shared" si="10"/>
        <v>0</v>
      </c>
      <c r="J18" s="61">
        <f t="shared" si="10"/>
        <v>0</v>
      </c>
      <c r="K18" s="61">
        <f t="shared" si="10"/>
        <v>0</v>
      </c>
      <c r="L18" s="61">
        <f t="shared" si="10"/>
        <v>0</v>
      </c>
      <c r="M18" s="61">
        <f t="shared" si="10"/>
        <v>0</v>
      </c>
      <c r="N18" s="61">
        <f t="shared" si="10"/>
        <v>0</v>
      </c>
      <c r="O18" s="61">
        <f t="shared" si="10"/>
        <v>0</v>
      </c>
      <c r="P18" s="61">
        <f t="shared" si="10"/>
        <v>0</v>
      </c>
      <c r="Q18" s="61">
        <f t="shared" si="10"/>
        <v>0</v>
      </c>
      <c r="R18" s="61">
        <f t="shared" si="10"/>
        <v>0</v>
      </c>
      <c r="S18" s="61">
        <f t="shared" si="10"/>
        <v>0</v>
      </c>
      <c r="T18" s="61">
        <f t="shared" si="10"/>
        <v>0</v>
      </c>
      <c r="U18" s="61">
        <f t="shared" si="10"/>
        <v>0</v>
      </c>
      <c r="V18" s="61">
        <f t="shared" si="10"/>
        <v>0</v>
      </c>
      <c r="W18" s="61">
        <f t="shared" si="10"/>
        <v>0</v>
      </c>
      <c r="X18" s="61">
        <f t="shared" si="10"/>
        <v>0</v>
      </c>
      <c r="Y18" s="61">
        <f t="shared" si="10"/>
        <v>0</v>
      </c>
      <c r="Z18" s="61">
        <f t="shared" si="10"/>
        <v>0</v>
      </c>
      <c r="AA18" s="61">
        <f t="shared" si="10"/>
        <v>0</v>
      </c>
      <c r="AB18" s="61">
        <f t="shared" si="10"/>
        <v>0</v>
      </c>
      <c r="AC18" s="61">
        <f t="shared" si="10"/>
        <v>0</v>
      </c>
      <c r="AD18" s="61">
        <f>AD14+AD17-AD15</f>
        <v>0</v>
      </c>
      <c r="AE18" s="61">
        <f>AE14+AE17-AE15</f>
        <v>0</v>
      </c>
      <c r="AF18" s="61">
        <f>AF14+AF17-AF15</f>
        <v>0</v>
      </c>
      <c r="AG18" s="61">
        <f>AG14+AG17-AG15</f>
        <v>0</v>
      </c>
      <c r="AH18" s="61">
        <f>AH14+AH17-AH15</f>
        <v>0</v>
      </c>
    </row>
    <row r="19" spans="1:34" ht="12.75" customHeight="1">
      <c r="A19" s="36"/>
      <c r="B19" s="36"/>
      <c r="C19" s="18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2.75" customHeight="1">
      <c r="A20" s="36">
        <v>2</v>
      </c>
      <c r="B20" s="13" t="s">
        <v>389</v>
      </c>
      <c r="C20" s="18"/>
      <c r="D20" s="60">
        <f>SUM(D21:D24)</f>
        <v>10508.4</v>
      </c>
      <c r="E20" s="60">
        <f>SUM(E21:E24)</f>
        <v>1437.26</v>
      </c>
      <c r="F20" s="60">
        <f>SUM(F21:F24)</f>
        <v>1437.26</v>
      </c>
      <c r="G20" s="60">
        <f aca="true" t="shared" si="11" ref="G20:AH20">SUM(G21:G24)</f>
        <v>1437.26</v>
      </c>
      <c r="H20" s="60">
        <f t="shared" si="11"/>
        <v>1437.26</v>
      </c>
      <c r="I20" s="60">
        <f t="shared" si="11"/>
        <v>1437.26</v>
      </c>
      <c r="J20" s="60">
        <f t="shared" si="11"/>
        <v>1437.26</v>
      </c>
      <c r="K20" s="60">
        <f t="shared" si="11"/>
        <v>1437.26</v>
      </c>
      <c r="L20" s="60">
        <f t="shared" si="11"/>
        <v>447.58</v>
      </c>
      <c r="M20" s="60">
        <f t="shared" si="11"/>
        <v>447.58</v>
      </c>
      <c r="N20" s="60">
        <f t="shared" si="11"/>
        <v>447.58</v>
      </c>
      <c r="O20" s="60">
        <f t="shared" si="11"/>
        <v>447.58</v>
      </c>
      <c r="P20" s="60">
        <f t="shared" si="11"/>
        <v>447.58</v>
      </c>
      <c r="Q20" s="60">
        <f t="shared" si="11"/>
        <v>447.58</v>
      </c>
      <c r="R20" s="60">
        <f>SUM(R21:R24)</f>
        <v>447.58</v>
      </c>
      <c r="S20" s="60">
        <f>SUM(S21:S24)</f>
        <v>447.58</v>
      </c>
      <c r="T20" s="60">
        <f>SUM(T21:T24)</f>
        <v>447.58</v>
      </c>
      <c r="U20" s="60">
        <f>SUM(U21:U24)</f>
        <v>447.58</v>
      </c>
      <c r="V20" s="60">
        <f>SUM(V21:V24)</f>
        <v>447.58</v>
      </c>
      <c r="W20" s="60">
        <f t="shared" si="11"/>
        <v>447.58</v>
      </c>
      <c r="X20" s="60">
        <f t="shared" si="11"/>
        <v>447.58</v>
      </c>
      <c r="Y20" s="60">
        <f t="shared" si="11"/>
        <v>447.58</v>
      </c>
      <c r="Z20" s="60">
        <f t="shared" si="11"/>
        <v>0</v>
      </c>
      <c r="AA20" s="60">
        <f t="shared" si="11"/>
        <v>0</v>
      </c>
      <c r="AB20" s="60">
        <f t="shared" si="11"/>
        <v>0</v>
      </c>
      <c r="AC20" s="60">
        <f t="shared" si="11"/>
        <v>0</v>
      </c>
      <c r="AD20" s="60">
        <f t="shared" si="11"/>
        <v>0</v>
      </c>
      <c r="AE20" s="60">
        <f t="shared" si="11"/>
        <v>0</v>
      </c>
      <c r="AF20" s="60">
        <f t="shared" si="11"/>
        <v>0</v>
      </c>
      <c r="AG20" s="60">
        <f t="shared" si="11"/>
        <v>0</v>
      </c>
      <c r="AH20" s="60">
        <f t="shared" si="11"/>
        <v>0</v>
      </c>
    </row>
    <row r="21" spans="1:34" ht="12.75" customHeight="1">
      <c r="A21" s="36">
        <v>2.1</v>
      </c>
      <c r="B21" s="13" t="s">
        <v>375</v>
      </c>
      <c r="C21" s="18"/>
      <c r="D21" s="60">
        <f>SUM(E21:AH21)</f>
        <v>5207.86</v>
      </c>
      <c r="E21" s="60">
        <f>IF(E5&lt;=$C27,'Plan for Repayment of Loan'!D11+'Plan for Repayment of Loan'!D18,0)</f>
        <v>743.98</v>
      </c>
      <c r="F21" s="60">
        <f>IF(F5&lt;=$C27,'Plan for Repayment of Loan'!E11+'Plan for Repayment of Loan'!E18,0)</f>
        <v>743.98</v>
      </c>
      <c r="G21" s="60">
        <f>IF(G5&lt;=$C27,'Plan for Repayment of Loan'!F11+'Plan for Repayment of Loan'!F18,0)</f>
        <v>743.98</v>
      </c>
      <c r="H21" s="60">
        <f>IF(H5&lt;=$C27,'Plan for Repayment of Loan'!G11+'Plan for Repayment of Loan'!G18,0)</f>
        <v>743.98</v>
      </c>
      <c r="I21" s="60">
        <f>IF(I5&lt;=$C27,'Plan for Repayment of Loan'!H11+'Plan for Repayment of Loan'!H18,0)</f>
        <v>743.98</v>
      </c>
      <c r="J21" s="60">
        <f>IF(J5&lt;=$C27,'Plan for Repayment of Loan'!I11+'Plan for Repayment of Loan'!I18,0)</f>
        <v>743.98</v>
      </c>
      <c r="K21" s="60">
        <f>IF(K5&lt;=$C27,'Plan for Repayment of Loan'!J11+'Plan for Repayment of Loan'!J18,0)</f>
        <v>743.98</v>
      </c>
      <c r="L21" s="60">
        <f>IF(L5&lt;=$C27,'Plan for Repayment of Loan'!K11+'Plan for Repayment of Loan'!K18,0)</f>
        <v>0</v>
      </c>
      <c r="M21" s="60">
        <f>IF(M5&lt;=$C27,'Plan for Repayment of Loan'!L11+'Plan for Repayment of Loan'!L18,0)</f>
        <v>0</v>
      </c>
      <c r="N21" s="60">
        <f>IF(N5&lt;=$C27,'Plan for Repayment of Loan'!M11+'Plan for Repayment of Loan'!M18,0)</f>
        <v>0</v>
      </c>
      <c r="O21" s="60">
        <f>IF(O5&lt;=$C27,'Plan for Repayment of Loan'!N11+'Plan for Repayment of Loan'!N18,0)</f>
        <v>0</v>
      </c>
      <c r="P21" s="60">
        <f>IF(P5&lt;=$C27,'Plan for Repayment of Loan'!O11+'Plan for Repayment of Loan'!O18,0)</f>
        <v>0</v>
      </c>
      <c r="Q21" s="60">
        <f>IF(Q5&lt;=$C27,'Plan for Repayment of Loan'!P11+'Plan for Repayment of Loan'!P18,0)</f>
        <v>0</v>
      </c>
      <c r="R21" s="60">
        <f>IF(R5&lt;=$C27,'Plan for Repayment of Loan'!Q11+'Plan for Repayment of Loan'!Q18,0)</f>
        <v>0</v>
      </c>
      <c r="S21" s="60">
        <f>IF(S5&lt;=$C27,'Plan for Repayment of Loan'!R11+'Plan for Repayment of Loan'!R18,0)</f>
        <v>0</v>
      </c>
      <c r="T21" s="60">
        <f>IF(T5&lt;=$C27,'Plan for Repayment of Loan'!S11+'Plan for Repayment of Loan'!S18,0)</f>
        <v>0</v>
      </c>
      <c r="U21" s="60">
        <f>IF(U5&lt;=$C27,'Plan for Repayment of Loan'!T11+'Plan for Repayment of Loan'!T18,0)</f>
        <v>0</v>
      </c>
      <c r="V21" s="60">
        <f>IF(V5&lt;=$C27,'Plan for Repayment of Loan'!U11+'Plan for Repayment of Loan'!U18,0)</f>
        <v>0</v>
      </c>
      <c r="W21" s="60">
        <f>IF(W5&lt;=$C27,'Plan for Repayment of Loan'!V11+'Plan for Repayment of Loan'!V18,0)</f>
        <v>0</v>
      </c>
      <c r="X21" s="60">
        <f>IF(X5&lt;=$C27,'Plan for Repayment of Loan'!W11+'Plan for Repayment of Loan'!W18,0)</f>
        <v>0</v>
      </c>
      <c r="Y21" s="60">
        <f>IF(Y5&lt;=$C27,'Plan for Repayment of Loan'!X11+'Plan for Repayment of Loan'!X18,0)</f>
        <v>0</v>
      </c>
      <c r="Z21" s="60">
        <f>IF(Z5&lt;=$C27,'Plan for Repayment of Loan'!Y11+'Plan for Repayment of Loan'!Y18,0)</f>
        <v>0</v>
      </c>
      <c r="AA21" s="60">
        <f>IF(AA5&lt;=$C27,'Plan for Repayment of Loan'!Z11+'Plan for Repayment of Loan'!Z18,0)</f>
        <v>0</v>
      </c>
      <c r="AB21" s="60">
        <f>IF(AB5&lt;=$C27,'Plan for Repayment of Loan'!AA11+'Plan for Repayment of Loan'!AA18,0)</f>
        <v>0</v>
      </c>
      <c r="AC21" s="60">
        <f>IF(AC5&lt;=$C27,'Plan for Repayment of Loan'!AB11+'Plan for Repayment of Loan'!AB18,0)</f>
        <v>0</v>
      </c>
      <c r="AD21" s="60">
        <f>IF(AD5&lt;=$C27,'Plan for Repayment of Loan'!AC11+'Plan for Repayment of Loan'!AC18,0)</f>
        <v>0</v>
      </c>
      <c r="AE21" s="60">
        <f>IF(AE5&lt;=$C27,'Plan for Repayment of Loan'!AD11+'Plan for Repayment of Loan'!AD18,0)</f>
        <v>0</v>
      </c>
      <c r="AF21" s="60">
        <f>IF(AF5&lt;=$C27,'Plan for Repayment of Loan'!AE11+'Plan for Repayment of Loan'!AE18,0)</f>
        <v>0</v>
      </c>
      <c r="AG21" s="60">
        <f>IF(AG5&lt;=$C27,'Plan for Repayment of Loan'!AF11+'Plan for Repayment of Loan'!AF18,0)</f>
        <v>0</v>
      </c>
      <c r="AH21" s="60">
        <f>IF(AH5&lt;=$C27,'Plan for Repayment of Loan'!AG11+'Plan for Repayment of Loan'!AG18,0)</f>
        <v>0</v>
      </c>
    </row>
    <row r="22" spans="1:34" ht="12.75" customHeight="1">
      <c r="A22" s="36">
        <v>2.2</v>
      </c>
      <c r="B22" s="13" t="s">
        <v>380</v>
      </c>
      <c r="C22" s="132"/>
      <c r="D22" s="60">
        <f>SUM(E22:AH22)</f>
        <v>0</v>
      </c>
      <c r="E22" s="60">
        <f>IF(E5&lt;=$C27,'Plan for Repayment of Loan'!D23,0)</f>
        <v>0</v>
      </c>
      <c r="F22" s="60">
        <f>IF(F5&lt;=$C27,'Plan for Repayment of Loan'!E23,0)</f>
        <v>0</v>
      </c>
      <c r="G22" s="60">
        <f>IF(G5&lt;=$C27,'Plan for Repayment of Loan'!F23,0)</f>
        <v>0</v>
      </c>
      <c r="H22" s="60">
        <f>IF(H5&lt;=$C27,'Plan for Repayment of Loan'!G23,0)</f>
        <v>0</v>
      </c>
      <c r="I22" s="60">
        <f>IF(I5&lt;=$C27,'Plan for Repayment of Loan'!H23,0)</f>
        <v>0</v>
      </c>
      <c r="J22" s="60">
        <f>IF(J5&lt;=$C27,'Plan for Repayment of Loan'!I23,0)</f>
        <v>0</v>
      </c>
      <c r="K22" s="60">
        <f>IF(K5&lt;=$C27,'Plan for Repayment of Loan'!J23,0)</f>
        <v>0</v>
      </c>
      <c r="L22" s="60">
        <f>IF(L5&lt;=$C27,'Plan for Repayment of Loan'!K23,0)</f>
        <v>0</v>
      </c>
      <c r="M22" s="60">
        <f>IF(M5&lt;=$C27,'Plan for Repayment of Loan'!L23,0)</f>
        <v>0</v>
      </c>
      <c r="N22" s="60">
        <f>IF(N5&lt;=$C27,'Plan for Repayment of Loan'!M23,0)</f>
        <v>0</v>
      </c>
      <c r="O22" s="60">
        <f>IF(O5&lt;=$C27,'Plan for Repayment of Loan'!N23,0)</f>
        <v>0</v>
      </c>
      <c r="P22" s="60">
        <f>IF(P5&lt;=$C27,'Plan for Repayment of Loan'!O23,0)</f>
        <v>0</v>
      </c>
      <c r="Q22" s="60">
        <f>IF(Q5&lt;=$C27,'Plan for Repayment of Loan'!P23,0)</f>
        <v>0</v>
      </c>
      <c r="R22" s="60">
        <f>IF(R5&lt;=$C27,'Plan for Repayment of Loan'!Q23,0)</f>
        <v>0</v>
      </c>
      <c r="S22" s="60">
        <f>IF(S5&lt;=$C27,'Plan for Repayment of Loan'!R23,0)</f>
        <v>0</v>
      </c>
      <c r="T22" s="60">
        <f>IF(T5&lt;=$C27,'Plan for Repayment of Loan'!S23,0)</f>
        <v>0</v>
      </c>
      <c r="U22" s="60">
        <f>IF(U5&lt;=$C27,'Plan for Repayment of Loan'!T23,0)</f>
        <v>0</v>
      </c>
      <c r="V22" s="60">
        <f>IF(V5&lt;=$C27,'Plan for Repayment of Loan'!U23,0)</f>
        <v>0</v>
      </c>
      <c r="W22" s="60">
        <f>IF(W5&lt;=$C27,'Plan for Repayment of Loan'!V23,0)</f>
        <v>0</v>
      </c>
      <c r="X22" s="60">
        <f>IF(X5&lt;=$C27,'Plan for Repayment of Loan'!W23,0)</f>
        <v>0</v>
      </c>
      <c r="Y22" s="60">
        <f>IF(Y5&lt;=$C27,'Plan for Repayment of Loan'!X23,0)</f>
        <v>0</v>
      </c>
      <c r="Z22" s="60">
        <f>IF(Z5&lt;=$C27,'Plan for Repayment of Loan'!Y23,0)</f>
        <v>0</v>
      </c>
      <c r="AA22" s="60">
        <f>IF(AA5&lt;=$C27,'Plan for Repayment of Loan'!Z23,0)</f>
        <v>0</v>
      </c>
      <c r="AB22" s="60">
        <f>IF(AB5&lt;=$C27,'Plan for Repayment of Loan'!AA23,0)</f>
        <v>0</v>
      </c>
      <c r="AC22" s="60">
        <f>IF(AC5&lt;=$C27,'Plan for Repayment of Loan'!AB23,0)</f>
        <v>0</v>
      </c>
      <c r="AD22" s="60">
        <f>IF(AD5&lt;=$C27,'Plan for Repayment of Loan'!AC23,0)</f>
        <v>0</v>
      </c>
      <c r="AE22" s="60">
        <f>IF(AE5&lt;=$C27,'Plan for Repayment of Loan'!AD23,0)</f>
        <v>0</v>
      </c>
      <c r="AF22" s="60">
        <f>IF(AF5&lt;=$C27,'Plan for Repayment of Loan'!AE23,0)</f>
        <v>0</v>
      </c>
      <c r="AG22" s="60">
        <f>IF(AG5&lt;=$C27,'Plan for Repayment of Loan'!AF23,0)</f>
        <v>0</v>
      </c>
      <c r="AH22" s="60">
        <f>IF(AH5&lt;=$C27,'Plan for Repayment of Loan'!AG23,0)</f>
        <v>0</v>
      </c>
    </row>
    <row r="23" spans="1:34" ht="12.75" customHeight="1">
      <c r="A23" s="36">
        <v>2.3</v>
      </c>
      <c r="B23" s="13" t="s">
        <v>390</v>
      </c>
      <c r="C23" s="85">
        <v>245.7</v>
      </c>
      <c r="D23" s="60">
        <f>SUM(E23:AH23)</f>
        <v>1719.9</v>
      </c>
      <c r="E23" s="60">
        <f>IF(AND(E5&lt;=$C27,E5&lt;&gt;0),$C23,E15)</f>
        <v>245.7</v>
      </c>
      <c r="F23" s="60">
        <f aca="true" t="shared" si="12" ref="F23:AH23">IF(AND(F5&lt;=$C27,F5&lt;&gt;0),$C23,F15)</f>
        <v>245.7</v>
      </c>
      <c r="G23" s="60">
        <f t="shared" si="12"/>
        <v>245.7</v>
      </c>
      <c r="H23" s="60">
        <f t="shared" si="12"/>
        <v>245.7</v>
      </c>
      <c r="I23" s="60">
        <f t="shared" si="12"/>
        <v>245.7</v>
      </c>
      <c r="J23" s="60">
        <f t="shared" si="12"/>
        <v>245.7</v>
      </c>
      <c r="K23" s="60">
        <f t="shared" si="12"/>
        <v>245.7</v>
      </c>
      <c r="L23" s="60">
        <f t="shared" si="12"/>
        <v>0</v>
      </c>
      <c r="M23" s="60">
        <f t="shared" si="12"/>
        <v>0</v>
      </c>
      <c r="N23" s="60">
        <f t="shared" si="12"/>
        <v>0</v>
      </c>
      <c r="O23" s="60">
        <f t="shared" si="12"/>
        <v>0</v>
      </c>
      <c r="P23" s="60">
        <f t="shared" si="12"/>
        <v>0</v>
      </c>
      <c r="Q23" s="60">
        <f t="shared" si="12"/>
        <v>0</v>
      </c>
      <c r="R23" s="60">
        <f t="shared" si="12"/>
        <v>0</v>
      </c>
      <c r="S23" s="60">
        <f t="shared" si="12"/>
        <v>0</v>
      </c>
      <c r="T23" s="60">
        <f t="shared" si="12"/>
        <v>0</v>
      </c>
      <c r="U23" s="60">
        <f t="shared" si="12"/>
        <v>0</v>
      </c>
      <c r="V23" s="60">
        <f t="shared" si="12"/>
        <v>0</v>
      </c>
      <c r="W23" s="60">
        <f t="shared" si="12"/>
        <v>0</v>
      </c>
      <c r="X23" s="60">
        <f t="shared" si="12"/>
        <v>0</v>
      </c>
      <c r="Y23" s="60">
        <f t="shared" si="12"/>
        <v>0</v>
      </c>
      <c r="Z23" s="60">
        <f t="shared" si="12"/>
        <v>0</v>
      </c>
      <c r="AA23" s="60">
        <f t="shared" si="12"/>
        <v>0</v>
      </c>
      <c r="AB23" s="60">
        <f t="shared" si="12"/>
        <v>0</v>
      </c>
      <c r="AC23" s="60">
        <f t="shared" si="12"/>
        <v>0</v>
      </c>
      <c r="AD23" s="60">
        <f t="shared" si="12"/>
        <v>0</v>
      </c>
      <c r="AE23" s="60">
        <f t="shared" si="12"/>
        <v>0</v>
      </c>
      <c r="AF23" s="60">
        <f t="shared" si="12"/>
        <v>0</v>
      </c>
      <c r="AG23" s="60">
        <f t="shared" si="12"/>
        <v>0</v>
      </c>
      <c r="AH23" s="60">
        <f t="shared" si="12"/>
        <v>0</v>
      </c>
    </row>
    <row r="24" spans="1:34" ht="12.75" customHeight="1">
      <c r="A24" s="36">
        <v>2.4</v>
      </c>
      <c r="B24" s="13" t="s">
        <v>132</v>
      </c>
      <c r="C24" s="18"/>
      <c r="D24" s="60">
        <f>SUMIF(E7:AH7,"&gt;0",E24:AH24)</f>
        <v>3580.64</v>
      </c>
      <c r="E24" s="60">
        <f>'Cash Flow'!G15</f>
        <v>447.58</v>
      </c>
      <c r="F24" s="60">
        <f>'Cash Flow'!H15</f>
        <v>447.58</v>
      </c>
      <c r="G24" s="60">
        <f>'Cash Flow'!I15</f>
        <v>447.58</v>
      </c>
      <c r="H24" s="60">
        <f>'Cash Flow'!J15</f>
        <v>447.58</v>
      </c>
      <c r="I24" s="60">
        <f>'Cash Flow'!K15</f>
        <v>447.58</v>
      </c>
      <c r="J24" s="60">
        <f>'Cash Flow'!L15</f>
        <v>447.58</v>
      </c>
      <c r="K24" s="60">
        <f>'Cash Flow'!M15</f>
        <v>447.58</v>
      </c>
      <c r="L24" s="60">
        <f>'Cash Flow'!N15</f>
        <v>447.58</v>
      </c>
      <c r="M24" s="60">
        <f>'Cash Flow'!O15</f>
        <v>447.58</v>
      </c>
      <c r="N24" s="60">
        <f>'Cash Flow'!P15</f>
        <v>447.58</v>
      </c>
      <c r="O24" s="60">
        <f>'Cash Flow'!Q15</f>
        <v>447.58</v>
      </c>
      <c r="P24" s="60">
        <f>'Cash Flow'!R15</f>
        <v>447.58</v>
      </c>
      <c r="Q24" s="60">
        <f>'Cash Flow'!S15</f>
        <v>447.58</v>
      </c>
      <c r="R24" s="60">
        <f>'Cash Flow'!T15</f>
        <v>447.58</v>
      </c>
      <c r="S24" s="60">
        <f>'Cash Flow'!U15</f>
        <v>447.58</v>
      </c>
      <c r="T24" s="60">
        <f>'Cash Flow'!V15</f>
        <v>447.58</v>
      </c>
      <c r="U24" s="60">
        <f>'Cash Flow'!W15</f>
        <v>447.58</v>
      </c>
      <c r="V24" s="60">
        <f>'Cash Flow'!X15</f>
        <v>447.58</v>
      </c>
      <c r="W24" s="60">
        <f>'Cash Flow'!Y15</f>
        <v>447.58</v>
      </c>
      <c r="X24" s="60">
        <f>'Cash Flow'!Z15</f>
        <v>447.58</v>
      </c>
      <c r="Y24" s="60">
        <f>'Cash Flow'!AA15</f>
        <v>447.58</v>
      </c>
      <c r="Z24" s="60">
        <f>'Cash Flow'!AB15</f>
        <v>0</v>
      </c>
      <c r="AA24" s="60">
        <f>'Cash Flow'!AC15</f>
        <v>0</v>
      </c>
      <c r="AB24" s="60">
        <f>'Cash Flow'!AD15</f>
        <v>0</v>
      </c>
      <c r="AC24" s="60">
        <f>'Cash Flow'!AE15</f>
        <v>0</v>
      </c>
      <c r="AD24" s="60">
        <f>'Cash Flow'!AF15</f>
        <v>0</v>
      </c>
      <c r="AE24" s="60">
        <f>'Cash Flow'!AG15</f>
        <v>0</v>
      </c>
      <c r="AF24" s="60">
        <f>'Cash Flow'!AH15</f>
        <v>0</v>
      </c>
      <c r="AG24" s="60">
        <f>'Cash Flow'!AI15</f>
        <v>0</v>
      </c>
      <c r="AH24" s="60">
        <f>'Cash Flow'!AJ15</f>
        <v>0</v>
      </c>
    </row>
    <row r="25" spans="1:34" ht="12.75" customHeight="1">
      <c r="A25" s="36"/>
      <c r="B25" s="36"/>
      <c r="C25" s="18"/>
      <c r="D25" s="60"/>
      <c r="E25" s="60"/>
      <c r="F25" s="60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33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ht="12.75" customHeight="1">
      <c r="A26" s="36">
        <v>3</v>
      </c>
      <c r="B26" s="13" t="s">
        <v>391</v>
      </c>
      <c r="C26" s="18"/>
      <c r="D26" s="60"/>
      <c r="E26" s="60"/>
      <c r="F26" s="60"/>
      <c r="G26" s="6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33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ht="12.75" customHeight="1">
      <c r="A27" s="36">
        <v>3.1</v>
      </c>
      <c r="B27" s="13" t="s">
        <v>133</v>
      </c>
      <c r="C27" s="85">
        <v>7</v>
      </c>
      <c r="D27" s="60">
        <f>SUM(E27:AH27)</f>
        <v>8</v>
      </c>
      <c r="E27" s="54">
        <f aca="true" t="shared" si="13" ref="E27:AH27">IF(AND(E7&gt;0,E11&lt;0),E5,"")</f>
      </c>
      <c r="F27" s="54">
        <f t="shared" si="13"/>
      </c>
      <c r="G27" s="54">
        <f t="shared" si="13"/>
      </c>
      <c r="H27" s="54">
        <f t="shared" si="13"/>
      </c>
      <c r="I27" s="54">
        <f t="shared" si="13"/>
      </c>
      <c r="J27" s="54">
        <f t="shared" si="13"/>
      </c>
      <c r="K27" s="54">
        <f t="shared" si="13"/>
      </c>
      <c r="L27" s="54">
        <f t="shared" si="13"/>
        <v>8</v>
      </c>
      <c r="M27" s="54">
        <f t="shared" si="13"/>
      </c>
      <c r="N27" s="54">
        <f t="shared" si="13"/>
      </c>
      <c r="O27" s="54">
        <f t="shared" si="13"/>
      </c>
      <c r="P27" s="54">
        <f t="shared" si="13"/>
      </c>
      <c r="Q27" s="54">
        <f t="shared" si="13"/>
      </c>
      <c r="R27" s="54">
        <f t="shared" si="13"/>
      </c>
      <c r="S27" s="54">
        <f t="shared" si="13"/>
      </c>
      <c r="T27" s="54">
        <f t="shared" si="13"/>
      </c>
      <c r="U27" s="54">
        <f t="shared" si="13"/>
      </c>
      <c r="V27" s="54">
        <f t="shared" si="13"/>
      </c>
      <c r="W27" s="54">
        <f t="shared" si="13"/>
      </c>
      <c r="X27" s="54">
        <f t="shared" si="13"/>
      </c>
      <c r="Y27" s="54">
        <f t="shared" si="13"/>
      </c>
      <c r="Z27" s="54">
        <f t="shared" si="13"/>
      </c>
      <c r="AA27" s="54">
        <f t="shared" si="13"/>
      </c>
      <c r="AB27" s="54">
        <f t="shared" si="13"/>
      </c>
      <c r="AC27" s="54">
        <f t="shared" si="13"/>
      </c>
      <c r="AD27" s="54">
        <f t="shared" si="13"/>
      </c>
      <c r="AE27" s="54">
        <f t="shared" si="13"/>
      </c>
      <c r="AF27" s="54">
        <f t="shared" si="13"/>
      </c>
      <c r="AG27" s="54">
        <f t="shared" si="13"/>
      </c>
      <c r="AH27" s="54">
        <f t="shared" si="13"/>
      </c>
    </row>
    <row r="28" spans="1:34" ht="12.75" customHeight="1">
      <c r="A28" s="36">
        <v>3.2</v>
      </c>
      <c r="B28" s="13" t="s">
        <v>392</v>
      </c>
      <c r="C28" s="63"/>
      <c r="D28" s="60">
        <f>SUM(E28:AH28)</f>
        <v>447.58</v>
      </c>
      <c r="E28" s="60">
        <f aca="true" t="shared" si="14" ref="E28:AH28">IF(AND(E7&gt;0,E11&lt;0),E20,"")</f>
      </c>
      <c r="F28" s="60">
        <f t="shared" si="14"/>
      </c>
      <c r="G28" s="60">
        <f t="shared" si="14"/>
      </c>
      <c r="H28" s="60">
        <f t="shared" si="14"/>
      </c>
      <c r="I28" s="60">
        <f t="shared" si="14"/>
      </c>
      <c r="J28" s="60">
        <f t="shared" si="14"/>
      </c>
      <c r="K28" s="60">
        <f t="shared" si="14"/>
      </c>
      <c r="L28" s="60">
        <f t="shared" si="14"/>
        <v>447.58</v>
      </c>
      <c r="M28" s="60">
        <f t="shared" si="14"/>
      </c>
      <c r="N28" s="60">
        <f t="shared" si="14"/>
      </c>
      <c r="O28" s="60">
        <f t="shared" si="14"/>
      </c>
      <c r="P28" s="60">
        <f t="shared" si="14"/>
      </c>
      <c r="Q28" s="60">
        <f t="shared" si="14"/>
      </c>
      <c r="R28" s="60">
        <f t="shared" si="14"/>
      </c>
      <c r="S28" s="60">
        <f t="shared" si="14"/>
      </c>
      <c r="T28" s="60">
        <f t="shared" si="14"/>
      </c>
      <c r="U28" s="60">
        <f t="shared" si="14"/>
      </c>
      <c r="V28" s="60">
        <f t="shared" si="14"/>
      </c>
      <c r="W28" s="60">
        <f t="shared" si="14"/>
      </c>
      <c r="X28" s="60">
        <f t="shared" si="14"/>
      </c>
      <c r="Y28" s="60">
        <f t="shared" si="14"/>
      </c>
      <c r="Z28" s="60">
        <f t="shared" si="14"/>
      </c>
      <c r="AA28" s="60">
        <f t="shared" si="14"/>
      </c>
      <c r="AB28" s="60">
        <f t="shared" si="14"/>
      </c>
      <c r="AC28" s="60">
        <f t="shared" si="14"/>
      </c>
      <c r="AD28" s="60">
        <f t="shared" si="14"/>
      </c>
      <c r="AE28" s="60">
        <f t="shared" si="14"/>
      </c>
      <c r="AF28" s="60">
        <f t="shared" si="14"/>
      </c>
      <c r="AG28" s="60">
        <f t="shared" si="14"/>
      </c>
      <c r="AH28" s="60">
        <f t="shared" si="14"/>
      </c>
    </row>
    <row r="29" spans="1:34" ht="12.75" customHeight="1">
      <c r="A29" s="36">
        <v>3.3</v>
      </c>
      <c r="B29" s="13" t="s">
        <v>393</v>
      </c>
      <c r="C29" s="18"/>
      <c r="D29" s="61">
        <f>SUM(E29:AH29)</f>
        <v>-363.92</v>
      </c>
      <c r="E29" s="61">
        <f aca="true" t="shared" si="15" ref="E29:AH29">IF(AND(E7&gt;0,E11&lt;0),E11,0)</f>
        <v>0</v>
      </c>
      <c r="F29" s="61">
        <f t="shared" si="15"/>
        <v>0</v>
      </c>
      <c r="G29" s="61">
        <f t="shared" si="15"/>
        <v>0</v>
      </c>
      <c r="H29" s="61">
        <f t="shared" si="15"/>
        <v>0</v>
      </c>
      <c r="I29" s="61">
        <f t="shared" si="15"/>
        <v>0</v>
      </c>
      <c r="J29" s="61">
        <f t="shared" si="15"/>
        <v>0</v>
      </c>
      <c r="K29" s="61">
        <f t="shared" si="15"/>
        <v>0</v>
      </c>
      <c r="L29" s="61">
        <f t="shared" si="15"/>
        <v>-363.92</v>
      </c>
      <c r="M29" s="61">
        <f t="shared" si="15"/>
        <v>0</v>
      </c>
      <c r="N29" s="61">
        <f t="shared" si="15"/>
        <v>0</v>
      </c>
      <c r="O29" s="61">
        <f t="shared" si="15"/>
        <v>0</v>
      </c>
      <c r="P29" s="61">
        <f t="shared" si="15"/>
        <v>0</v>
      </c>
      <c r="Q29" s="61">
        <f t="shared" si="15"/>
        <v>0</v>
      </c>
      <c r="R29" s="61">
        <f t="shared" si="15"/>
        <v>0</v>
      </c>
      <c r="S29" s="61">
        <f t="shared" si="15"/>
        <v>0</v>
      </c>
      <c r="T29" s="61">
        <f t="shared" si="15"/>
        <v>0</v>
      </c>
      <c r="U29" s="61">
        <f t="shared" si="15"/>
        <v>0</v>
      </c>
      <c r="V29" s="61">
        <f t="shared" si="15"/>
        <v>0</v>
      </c>
      <c r="W29" s="61">
        <f t="shared" si="15"/>
        <v>0</v>
      </c>
      <c r="X29" s="61">
        <f t="shared" si="15"/>
        <v>0</v>
      </c>
      <c r="Y29" s="61">
        <f t="shared" si="15"/>
        <v>0</v>
      </c>
      <c r="Z29" s="61">
        <f t="shared" si="15"/>
        <v>0</v>
      </c>
      <c r="AA29" s="61">
        <f t="shared" si="15"/>
        <v>0</v>
      </c>
      <c r="AB29" s="61">
        <f t="shared" si="15"/>
        <v>0</v>
      </c>
      <c r="AC29" s="61">
        <f t="shared" si="15"/>
        <v>0</v>
      </c>
      <c r="AD29" s="61">
        <f t="shared" si="15"/>
        <v>0</v>
      </c>
      <c r="AE29" s="61">
        <f t="shared" si="15"/>
        <v>0</v>
      </c>
      <c r="AF29" s="61">
        <f t="shared" si="15"/>
        <v>0</v>
      </c>
      <c r="AG29" s="61">
        <f t="shared" si="15"/>
        <v>0</v>
      </c>
      <c r="AH29" s="61">
        <f t="shared" si="15"/>
        <v>0</v>
      </c>
    </row>
    <row r="30" spans="1:34" ht="12.75" customHeight="1">
      <c r="A30" s="36"/>
      <c r="B30" s="36"/>
      <c r="C30" s="18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12.75" customHeight="1">
      <c r="A31" s="186" t="s">
        <v>68</v>
      </c>
      <c r="B31" s="13" t="s">
        <v>394</v>
      </c>
      <c r="C31" s="18"/>
      <c r="D31" s="60">
        <f>IF(D28&lt;&gt;0,MAX('Investment Plan'!D17:F17)+D27+(D29/D28),0)</f>
        <v>9.19</v>
      </c>
      <c r="E31" s="240" t="str">
        <f>IF(D28&lt;=0,0,"Construction Period "&amp;MAX('Investment Plan'!D17:F17)&amp;" years + Operation Period"&amp;D27&amp;" years+ ("&amp;ROUND(D29,2)&amp;" ÷ "&amp;D28&amp;") years = "&amp;ROUND(D31,2)&amp;" years")</f>
        <v>Construction Period 2 years + Operation Period8 years+ (-363.92 ÷ 447.58) years = 9.19 years</v>
      </c>
      <c r="F31" s="240"/>
      <c r="G31" s="240"/>
      <c r="H31" s="240"/>
      <c r="I31" s="240"/>
      <c r="J31" s="240"/>
      <c r="K31" s="240"/>
      <c r="L31" s="24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ht="12.75" customHeight="1">
      <c r="A32" s="187"/>
      <c r="B32" s="13" t="s">
        <v>395</v>
      </c>
      <c r="C32" s="18"/>
      <c r="D32" s="60">
        <f>IF(D27&lt;&gt;0,SUM(E32:AH32)/D27,0)</f>
        <v>31.01</v>
      </c>
      <c r="E32" s="60">
        <f>IF(E10&lt;&gt;0,('Cost and Income'!E26+E23+E24)/E10,0)</f>
        <v>2.09</v>
      </c>
      <c r="F32" s="60">
        <f>IF(F10&lt;&gt;0,('Cost and Income'!F26+F23+F24)/F10,0)</f>
        <v>2.37</v>
      </c>
      <c r="G32" s="60">
        <f>IF(G10&lt;&gt;0,('Cost and Income'!G26+G23+G24)/G10,0)</f>
        <v>2.77</v>
      </c>
      <c r="H32" s="60">
        <f>IF(H10&lt;&gt;0,('Cost and Income'!H26+H23+H24)/H10,0)</f>
        <v>3.36</v>
      </c>
      <c r="I32" s="60">
        <f>IF(I10&lt;&gt;0,('Cost and Income'!I26+I23+I24)/I10,0)</f>
        <v>4.34</v>
      </c>
      <c r="J32" s="60">
        <f>IF(J10&lt;&gt;0,('Cost and Income'!J26+J23+J24)/J10,0)</f>
        <v>6.27</v>
      </c>
      <c r="K32" s="60">
        <f>IF(K10&lt;&gt;0,('Cost and Income'!K26+K23+K24)/K10,0)</f>
        <v>11.87</v>
      </c>
      <c r="L32" s="60">
        <f>IF(L10&lt;&gt;0,('Cost and Income'!L26+L23+L24)/L10,0)</f>
        <v>214.99</v>
      </c>
      <c r="M32" s="60">
        <f>IF(M10&lt;&gt;0,('Cost and Income'!M26+M23+M24)/M10,0)</f>
        <v>0</v>
      </c>
      <c r="N32" s="60">
        <f>IF(N10&lt;&gt;0,('Cost and Income'!N26+N23+N24)/N10,0)</f>
        <v>0</v>
      </c>
      <c r="O32" s="60">
        <f>IF(O10&lt;&gt;0,('Cost and Income'!O26+O23+O24)/O10,0)</f>
        <v>0</v>
      </c>
      <c r="P32" s="60">
        <f>IF(P10&lt;&gt;0,('Cost and Income'!P26+P23+P24)/P10,0)</f>
        <v>0</v>
      </c>
      <c r="Q32" s="60">
        <f>IF(Q10&lt;&gt;0,('Cost and Income'!Q26+Q23+Q24)/Q10,0)</f>
        <v>0</v>
      </c>
      <c r="R32" s="60">
        <f>IF(R10&lt;&gt;0,('Cost and Income'!R26+R23+R24)/R10,0)</f>
        <v>0</v>
      </c>
      <c r="S32" s="60">
        <f>IF(S10&lt;&gt;0,('Cost and Income'!S26+S23+S24)/S10,0)</f>
        <v>0</v>
      </c>
      <c r="T32" s="60">
        <f>IF(T10&lt;&gt;0,('Cost and Income'!T26+T23+T24)/T10,0)</f>
        <v>0</v>
      </c>
      <c r="U32" s="60">
        <f>IF(U10&lt;&gt;0,('Cost and Income'!U26+U23+U24)/U10,0)</f>
        <v>0</v>
      </c>
      <c r="V32" s="60">
        <f>IF(V10&lt;&gt;0,('Cost and Income'!V26+V23+V24)/V10,0)</f>
        <v>0</v>
      </c>
      <c r="W32" s="60">
        <f>IF(W10&lt;&gt;0,('Cost and Income'!W26+W23+W24)/W10,0)</f>
        <v>0</v>
      </c>
      <c r="X32" s="60">
        <f>IF(X10&lt;&gt;0,('Cost and Income'!X26+X23+X24)/X10,0)</f>
        <v>0</v>
      </c>
      <c r="Y32" s="60">
        <f>IF(Y10&lt;&gt;0,('Cost and Income'!Y26+Y23+Y24)/Y10,0)</f>
        <v>0</v>
      </c>
      <c r="Z32" s="60">
        <f>IF(Z10&lt;&gt;0,('Cost and Income'!Z26+Z23+Z24)/Z10,0)</f>
        <v>0</v>
      </c>
      <c r="AA32" s="60">
        <f>IF(AA10&lt;&gt;0,('Cost and Income'!AA26+AA23+AA24)/AA10,0)</f>
        <v>0</v>
      </c>
      <c r="AB32" s="60">
        <f>IF(AB10&lt;&gt;0,('Cost and Income'!AB26+AB23+AB24)/AB10,0)</f>
        <v>0</v>
      </c>
      <c r="AC32" s="60">
        <f>IF(AC10&lt;&gt;0,('Cost and Income'!AC26+AC23+AC24)/AC10,0)</f>
        <v>0</v>
      </c>
      <c r="AD32" s="60">
        <f>IF(AD10&lt;&gt;0,('Cost and Income'!AD26+AD23+AD24)/AD10,0)</f>
        <v>0</v>
      </c>
      <c r="AE32" s="60">
        <f>IF(AE10&lt;&gt;0,('Cost and Income'!AE26+AE23+AE24)/AE10,0)</f>
        <v>0</v>
      </c>
      <c r="AF32" s="60">
        <f>IF(AF10&lt;&gt;0,('Cost and Income'!AF26+AF23+AF24)/AF10,0)</f>
        <v>0</v>
      </c>
      <c r="AG32" s="60">
        <f>IF(AG10&lt;&gt;0,('Cost and Income'!AG26+AG23+AG24)/AG10,0)</f>
        <v>0</v>
      </c>
      <c r="AH32" s="60">
        <f>IF(AH10&lt;&gt;0,('Cost and Income'!AH26+AH23+AH24)/AH10,0)</f>
        <v>0</v>
      </c>
    </row>
    <row r="33" spans="1:34" ht="12.75" customHeight="1">
      <c r="A33" s="188"/>
      <c r="B33" s="13" t="s">
        <v>396</v>
      </c>
      <c r="C33" s="18"/>
      <c r="D33" s="60">
        <f>IF(D27&lt;&gt;0,SUM(E33:AH33)/D27,0)</f>
        <v>1.53</v>
      </c>
      <c r="E33" s="60">
        <f>IF(E8&lt;&gt;0,('Cost and Income'!E26+'Cost and Income'!E18+E23+E24)/E8,0)</f>
        <v>1.2</v>
      </c>
      <c r="F33" s="60">
        <f>IF(F8&lt;&gt;0,('Cost and Income'!F26+'Cost and Income'!F18+F23+F24)/F8,0)</f>
        <v>1.2</v>
      </c>
      <c r="G33" s="60">
        <f>IF(G8&lt;&gt;0,('Cost and Income'!G26+'Cost and Income'!G18+G23+G24)/G8,0)</f>
        <v>1.2</v>
      </c>
      <c r="H33" s="60">
        <f>IF(H8&lt;&gt;0,('Cost and Income'!H26+'Cost and Income'!H18+H23+H24)/H8,0)</f>
        <v>1.2</v>
      </c>
      <c r="I33" s="60">
        <f>IF(I8&lt;&gt;0,('Cost and Income'!I26+'Cost and Income'!I18+I23+I24)/I8,0)</f>
        <v>1.2</v>
      </c>
      <c r="J33" s="60">
        <f>IF(J8&lt;&gt;0,('Cost and Income'!J26+'Cost and Income'!J18+J23+J24)/J8,0)</f>
        <v>1.2</v>
      </c>
      <c r="K33" s="60">
        <f>IF(K8&lt;&gt;0,('Cost and Income'!K26+'Cost and Income'!K18+K23+K24)/K8,0)</f>
        <v>1.2</v>
      </c>
      <c r="L33" s="60">
        <f>IF(L8&lt;&gt;0,('Cost and Income'!L26+'Cost and Income'!L18+L23+L24)/L8,0)</f>
        <v>3.85</v>
      </c>
      <c r="M33" s="60">
        <f>IF(M8&lt;&gt;0,('Cost and Income'!M26+'Cost and Income'!M18+M23+M24)/M8,0)</f>
        <v>0</v>
      </c>
      <c r="N33" s="60">
        <f>IF(N8&lt;&gt;0,('Cost and Income'!N26+'Cost and Income'!N18+N23+N24)/N8,0)</f>
        <v>0</v>
      </c>
      <c r="O33" s="60">
        <f>IF(O8&lt;&gt;0,('Cost and Income'!O26+'Cost and Income'!O18+O23+O24)/O8,0)</f>
        <v>0</v>
      </c>
      <c r="P33" s="60">
        <f>IF(P8&lt;&gt;0,('Cost and Income'!P26+'Cost and Income'!P18+P23+P24)/P8,0)</f>
        <v>0</v>
      </c>
      <c r="Q33" s="60">
        <f>IF(Q8&lt;&gt;0,('Cost and Income'!Q26+'Cost and Income'!Q18+Q23+Q24)/Q8,0)</f>
        <v>0</v>
      </c>
      <c r="R33" s="60">
        <f>IF(R8&lt;&gt;0,('Cost and Income'!R26+'Cost and Income'!R18+R23+R24)/R8,0)</f>
        <v>0</v>
      </c>
      <c r="S33" s="60">
        <f>IF(S8&lt;&gt;0,('Cost and Income'!S26+'Cost and Income'!S18+S23+S24)/S8,0)</f>
        <v>0</v>
      </c>
      <c r="T33" s="60">
        <f>IF(T8&lt;&gt;0,('Cost and Income'!T26+'Cost and Income'!T18+T23+T24)/T8,0)</f>
        <v>0</v>
      </c>
      <c r="U33" s="60">
        <f>IF(U8&lt;&gt;0,('Cost and Income'!U26+'Cost and Income'!U18+U23+U24)/U8,0)</f>
        <v>0</v>
      </c>
      <c r="V33" s="60">
        <f>IF(V8&lt;&gt;0,('Cost and Income'!V26+'Cost and Income'!V18+V23+V24)/V8,0)</f>
        <v>0</v>
      </c>
      <c r="W33" s="60">
        <f>IF(W8&lt;&gt;0,('Cost and Income'!W26+'Cost and Income'!W18+W23+W24)/W8,0)</f>
        <v>0</v>
      </c>
      <c r="X33" s="60">
        <f>IF(X8&lt;&gt;0,('Cost and Income'!X26+'Cost and Income'!X18+X23+X24)/X8,0)</f>
        <v>0</v>
      </c>
      <c r="Y33" s="60">
        <f>IF(Y8&lt;&gt;0,('Cost and Income'!Y26+'Cost and Income'!Y18+Y23+Y24)/Y8,0)</f>
        <v>0</v>
      </c>
      <c r="Z33" s="60">
        <f>IF(Z8&lt;&gt;0,('Cost and Income'!Z26+'Cost and Income'!Z18+Z23+Z24)/Z8,0)</f>
        <v>0</v>
      </c>
      <c r="AA33" s="60">
        <f>IF(AA8&lt;&gt;0,('Cost and Income'!AA26+'Cost and Income'!AA18+AA23+AA24)/AA8,0)</f>
        <v>0</v>
      </c>
      <c r="AB33" s="60">
        <f>IF(AB8&lt;&gt;0,('Cost and Income'!AB26+'Cost and Income'!AB18+AB23+AB24)/AB8,0)</f>
        <v>0</v>
      </c>
      <c r="AC33" s="60">
        <f>IF(AC8&lt;&gt;0,('Cost and Income'!AC26+'Cost and Income'!AC18+AC23+AC24)/AC8,0)</f>
        <v>0</v>
      </c>
      <c r="AD33" s="60">
        <f>IF(AD8&lt;&gt;0,('Cost and Income'!AD26+'Cost and Income'!AD18+AD23+AD24)/AD8,0)</f>
        <v>0</v>
      </c>
      <c r="AE33" s="60">
        <f>IF(AE8&lt;&gt;0,('Cost and Income'!AE26+'Cost and Income'!AE18+AE23+AE24)/AE8,0)</f>
        <v>0</v>
      </c>
      <c r="AF33" s="60">
        <f>IF(AF8&lt;&gt;0,('Cost and Income'!AF26+'Cost and Income'!AF18+AF23+AF24)/AF8,0)</f>
        <v>0</v>
      </c>
      <c r="AG33" s="60">
        <f>IF(AG8&lt;&gt;0,('Cost and Income'!AG26+'Cost and Income'!AG18+AG23+AG24)/AG8,0)</f>
        <v>0</v>
      </c>
      <c r="AH33" s="60">
        <f>IF(AH8&lt;&gt;0,('Cost and Income'!AH26+'Cost and Income'!AH18+AH23+AH24)/AH8,0)</f>
        <v>0</v>
      </c>
    </row>
  </sheetData>
  <sheetProtection/>
  <mergeCells count="10">
    <mergeCell ref="X4:AH4"/>
    <mergeCell ref="C4:C5"/>
    <mergeCell ref="E4:L4"/>
    <mergeCell ref="M4:W4"/>
    <mergeCell ref="A2:B2"/>
    <mergeCell ref="E31:L31"/>
    <mergeCell ref="A31:A33"/>
    <mergeCell ref="A4:A5"/>
    <mergeCell ref="B4:B5"/>
    <mergeCell ref="D4:D5"/>
  </mergeCells>
  <printOptions horizont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Footer xml:space="preserve">&amp;C&amp;P+11 </oddFooter>
  </headerFooter>
  <colBreaks count="2" manualBreakCount="2">
    <brk id="12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2:AJ40"/>
  <sheetViews>
    <sheetView showGridLines="0" showZeros="0" zoomScale="90" zoomScaleNormal="90" zoomScalePageLayoutView="0" workbookViewId="0" topLeftCell="A16">
      <selection activeCell="G35" sqref="G35"/>
    </sheetView>
  </sheetViews>
  <sheetFormatPr defaultColWidth="8.625" defaultRowHeight="12.75" customHeight="1"/>
  <cols>
    <col min="1" max="1" width="5.625" style="17" customWidth="1"/>
    <col min="2" max="2" width="52.125" style="17" customWidth="1"/>
    <col min="3" max="6" width="9.75390625" style="51" customWidth="1"/>
    <col min="7" max="36" width="8.75390625" style="51" customWidth="1"/>
    <col min="37" max="16384" width="8.625" style="51" customWidth="1"/>
  </cols>
  <sheetData>
    <row r="2" spans="1:33" ht="19.5" customHeight="1">
      <c r="A2" s="181" t="s">
        <v>134</v>
      </c>
      <c r="B2" s="181"/>
      <c r="C2" s="50" t="str">
        <f>Instruction!A16&amp;"-Statement of Application Fund"</f>
        <v>Jinshizi Hydropower Station Finance Analysis-Statement of Application Fund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 t="str">
        <f>C2</f>
        <v>Jinshizi Hydropower Station Finance Analysis-Statement of Application Fund</v>
      </c>
      <c r="O2" s="50"/>
      <c r="P2" s="50"/>
      <c r="Q2" s="50"/>
      <c r="R2" s="50"/>
      <c r="S2" s="50"/>
      <c r="T2" s="50"/>
      <c r="U2" s="50"/>
      <c r="V2" s="50"/>
      <c r="Z2" s="50" t="str">
        <f>N2</f>
        <v>Jinshizi Hydropower Station Finance Analysis-Statement of Application Fund</v>
      </c>
      <c r="AA2" s="50"/>
      <c r="AB2" s="50"/>
      <c r="AC2" s="50"/>
      <c r="AD2" s="50"/>
      <c r="AE2" s="50"/>
      <c r="AF2" s="50"/>
      <c r="AG2" s="50"/>
    </row>
    <row r="4" spans="1:36" ht="12.75" customHeight="1">
      <c r="A4" s="244" t="s">
        <v>266</v>
      </c>
      <c r="B4" s="189" t="s">
        <v>267</v>
      </c>
      <c r="C4" s="172" t="s">
        <v>269</v>
      </c>
      <c r="D4" s="174" t="s">
        <v>270</v>
      </c>
      <c r="E4" s="175"/>
      <c r="F4" s="176"/>
      <c r="G4" s="172" t="s">
        <v>271</v>
      </c>
      <c r="H4" s="172"/>
      <c r="I4" s="172"/>
      <c r="J4" s="172"/>
      <c r="K4" s="172"/>
      <c r="L4" s="172"/>
      <c r="M4" s="172"/>
      <c r="N4" s="174" t="str">
        <f>G4</f>
        <v>Operation Period (year)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  <c r="Z4" s="172" t="str">
        <f>N4</f>
        <v>Operation Period (year)</v>
      </c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36" ht="12.75" customHeight="1">
      <c r="A5" s="244"/>
      <c r="B5" s="190"/>
      <c r="C5" s="172"/>
      <c r="D5" s="18">
        <f>'Cash Flow'!D5</f>
        <v>0</v>
      </c>
      <c r="E5" s="18">
        <f>'Cash Flow'!E5</f>
        <v>1</v>
      </c>
      <c r="F5" s="18">
        <f>'Cash Flow'!F5</f>
        <v>2</v>
      </c>
      <c r="G5" s="18">
        <f>'Cash Flow'!G5</f>
        <v>1</v>
      </c>
      <c r="H5" s="18">
        <f>'Cash Flow'!H5</f>
        <v>2</v>
      </c>
      <c r="I5" s="18">
        <f>'Cash Flow'!I5</f>
        <v>3</v>
      </c>
      <c r="J5" s="18">
        <f>'Cash Flow'!J5</f>
        <v>4</v>
      </c>
      <c r="K5" s="18">
        <f>'Cash Flow'!K5</f>
        <v>5</v>
      </c>
      <c r="L5" s="18">
        <f>'Cash Flow'!L5</f>
        <v>6</v>
      </c>
      <c r="M5" s="18">
        <f>'Cash Flow'!M5</f>
        <v>7</v>
      </c>
      <c r="N5" s="18">
        <f>'Cash Flow'!N5</f>
        <v>8</v>
      </c>
      <c r="O5" s="18">
        <f>'Cash Flow'!O5</f>
        <v>9</v>
      </c>
      <c r="P5" s="18">
        <f>'Cash Flow'!P5</f>
        <v>10</v>
      </c>
      <c r="Q5" s="18">
        <f>'Cash Flow'!Q5</f>
        <v>11</v>
      </c>
      <c r="R5" s="18">
        <f>'Cash Flow'!R5</f>
        <v>12</v>
      </c>
      <c r="S5" s="18">
        <f>'Cash Flow'!S5</f>
        <v>13</v>
      </c>
      <c r="T5" s="18">
        <f>'Cash Flow'!T5</f>
        <v>14</v>
      </c>
      <c r="U5" s="18">
        <f>'Cash Flow'!U5</f>
        <v>15</v>
      </c>
      <c r="V5" s="18">
        <f>'Cash Flow'!V5</f>
        <v>16</v>
      </c>
      <c r="W5" s="18">
        <f>'Cash Flow'!W5</f>
        <v>17</v>
      </c>
      <c r="X5" s="18">
        <f>'Cash Flow'!X5</f>
        <v>18</v>
      </c>
      <c r="Y5" s="18">
        <f>'Cash Flow'!Y5</f>
        <v>19</v>
      </c>
      <c r="Z5" s="18">
        <f>'Cash Flow'!Z5</f>
        <v>20</v>
      </c>
      <c r="AA5" s="18">
        <f>'Cash Flow'!AA5</f>
        <v>21</v>
      </c>
      <c r="AB5" s="18">
        <f>'Cash Flow'!AB5</f>
        <v>22</v>
      </c>
      <c r="AC5" s="18">
        <f>'Cash Flow'!AC5</f>
        <v>23</v>
      </c>
      <c r="AD5" s="18">
        <f>'Cash Flow'!AD5</f>
        <v>24</v>
      </c>
      <c r="AE5" s="18">
        <f>'Cash Flow'!AE5</f>
        <v>25</v>
      </c>
      <c r="AF5" s="18">
        <f>'Cash Flow'!AF5</f>
        <v>26</v>
      </c>
      <c r="AG5" s="18">
        <f>'Cash Flow'!AG5</f>
        <v>27</v>
      </c>
      <c r="AH5" s="18">
        <f>'Cash Flow'!AH5</f>
        <v>28</v>
      </c>
      <c r="AI5" s="18">
        <f>'Cash Flow'!AI5</f>
        <v>29</v>
      </c>
      <c r="AJ5" s="18">
        <f>'Cash Flow'!AJ5</f>
        <v>30</v>
      </c>
    </row>
    <row r="6" spans="1:36" s="73" customFormat="1" ht="12.75" customHeight="1">
      <c r="A6" s="134">
        <v>1</v>
      </c>
      <c r="B6" s="13" t="s">
        <v>397</v>
      </c>
      <c r="C6" s="62">
        <f>SUM(D6:AJ6)</f>
        <v>62888.02</v>
      </c>
      <c r="D6" s="60">
        <f>SUM(D7:D10)+SUM(D13:D17)</f>
        <v>0</v>
      </c>
      <c r="E6" s="60">
        <f>SUM(E7:E10)+SUM(E13:E17)</f>
        <v>8002.82</v>
      </c>
      <c r="F6" s="60">
        <f>SUM(F7:F10)+SUM(F13:F17)</f>
        <v>6876.85</v>
      </c>
      <c r="G6" s="60">
        <f>SUM(G7:G10)+SUM(G13:G17)</f>
        <v>1724.35</v>
      </c>
      <c r="H6" s="60">
        <f aca="true" t="shared" si="0" ref="H6:AJ6">SUM(H7:H10)+SUM(H13:H17)</f>
        <v>1724.35</v>
      </c>
      <c r="I6" s="60">
        <f t="shared" si="0"/>
        <v>1724.35</v>
      </c>
      <c r="J6" s="60">
        <f t="shared" si="0"/>
        <v>1724.35</v>
      </c>
      <c r="K6" s="60">
        <f t="shared" si="0"/>
        <v>1724.35</v>
      </c>
      <c r="L6" s="60">
        <f t="shared" si="0"/>
        <v>1724.35</v>
      </c>
      <c r="M6" s="60">
        <f t="shared" si="0"/>
        <v>1724.35</v>
      </c>
      <c r="N6" s="60">
        <f t="shared" si="0"/>
        <v>1724.35</v>
      </c>
      <c r="O6" s="60">
        <f t="shared" si="0"/>
        <v>1724.35</v>
      </c>
      <c r="P6" s="60">
        <f t="shared" si="0"/>
        <v>1724.35</v>
      </c>
      <c r="Q6" s="60">
        <f t="shared" si="0"/>
        <v>1739.35</v>
      </c>
      <c r="R6" s="60">
        <f t="shared" si="0"/>
        <v>1739.35</v>
      </c>
      <c r="S6" s="60">
        <f t="shared" si="0"/>
        <v>1739.35</v>
      </c>
      <c r="T6" s="60">
        <f t="shared" si="0"/>
        <v>1739.35</v>
      </c>
      <c r="U6" s="60">
        <f t="shared" si="0"/>
        <v>1739.35</v>
      </c>
      <c r="V6" s="60">
        <f t="shared" si="0"/>
        <v>1739.35</v>
      </c>
      <c r="W6" s="60">
        <f t="shared" si="0"/>
        <v>1739.35</v>
      </c>
      <c r="X6" s="60">
        <f t="shared" si="0"/>
        <v>1739.35</v>
      </c>
      <c r="Y6" s="60">
        <f t="shared" si="0"/>
        <v>1739.35</v>
      </c>
      <c r="Z6" s="60">
        <f t="shared" si="0"/>
        <v>1739.35</v>
      </c>
      <c r="AA6" s="60">
        <f t="shared" si="0"/>
        <v>1739.35</v>
      </c>
      <c r="AB6" s="60">
        <f t="shared" si="0"/>
        <v>1291.77</v>
      </c>
      <c r="AC6" s="60">
        <f t="shared" si="0"/>
        <v>1291.77</v>
      </c>
      <c r="AD6" s="60">
        <f t="shared" si="0"/>
        <v>1291.77</v>
      </c>
      <c r="AE6" s="60">
        <f t="shared" si="0"/>
        <v>1291.77</v>
      </c>
      <c r="AF6" s="60">
        <f t="shared" si="0"/>
        <v>1291.77</v>
      </c>
      <c r="AG6" s="60">
        <f t="shared" si="0"/>
        <v>1291.77</v>
      </c>
      <c r="AH6" s="60">
        <f t="shared" si="0"/>
        <v>1291.77</v>
      </c>
      <c r="AI6" s="60">
        <f t="shared" si="0"/>
        <v>1291.77</v>
      </c>
      <c r="AJ6" s="60">
        <f t="shared" si="0"/>
        <v>1297.84</v>
      </c>
    </row>
    <row r="7" spans="1:36" s="73" customFormat="1" ht="12.75" customHeight="1">
      <c r="A7" s="134" t="s">
        <v>135</v>
      </c>
      <c r="B7" s="13" t="s">
        <v>398</v>
      </c>
      <c r="C7" s="60">
        <f>SUM(G7:AJ7)</f>
        <v>22003.6</v>
      </c>
      <c r="D7" s="60"/>
      <c r="E7" s="60"/>
      <c r="F7" s="60"/>
      <c r="G7" s="60">
        <f>'Cost and Income'!E26</f>
        <v>287.09</v>
      </c>
      <c r="H7" s="60">
        <f>'Cost and Income'!F26</f>
        <v>287.09</v>
      </c>
      <c r="I7" s="60">
        <f>'Cost and Income'!G26</f>
        <v>287.09</v>
      </c>
      <c r="J7" s="60">
        <f>'Cost and Income'!H26</f>
        <v>287.09</v>
      </c>
      <c r="K7" s="60">
        <f>'Cost and Income'!I26</f>
        <v>287.09</v>
      </c>
      <c r="L7" s="60">
        <f>'Cost and Income'!J26</f>
        <v>287.09</v>
      </c>
      <c r="M7" s="60">
        <f>'Cost and Income'!K26</f>
        <v>287.09</v>
      </c>
      <c r="N7" s="60">
        <f>'Cost and Income'!L26</f>
        <v>532.79</v>
      </c>
      <c r="O7" s="60">
        <f>'Cost and Income'!M26</f>
        <v>532.79</v>
      </c>
      <c r="P7" s="60">
        <f>'Cost and Income'!N26</f>
        <v>532.79</v>
      </c>
      <c r="Q7" s="60">
        <f>'Cost and Income'!O26</f>
        <v>547.79</v>
      </c>
      <c r="R7" s="60">
        <f>'Cost and Income'!P26</f>
        <v>547.79</v>
      </c>
      <c r="S7" s="60">
        <f>'Cost and Income'!Q26</f>
        <v>547.79</v>
      </c>
      <c r="T7" s="60">
        <f>'Cost and Income'!R26</f>
        <v>547.79</v>
      </c>
      <c r="U7" s="60">
        <f>'Cost and Income'!S26</f>
        <v>547.79</v>
      </c>
      <c r="V7" s="60">
        <f>'Cost and Income'!T26</f>
        <v>547.79</v>
      </c>
      <c r="W7" s="60">
        <f>'Cost and Income'!U26</f>
        <v>547.79</v>
      </c>
      <c r="X7" s="60">
        <f>'Cost and Income'!V26</f>
        <v>547.79</v>
      </c>
      <c r="Y7" s="60">
        <f>'Cost and Income'!W26</f>
        <v>547.79</v>
      </c>
      <c r="Z7" s="60">
        <f>'Cost and Income'!X26</f>
        <v>547.79</v>
      </c>
      <c r="AA7" s="60">
        <f>'Cost and Income'!Y26</f>
        <v>1291.77</v>
      </c>
      <c r="AB7" s="60">
        <f>'Cost and Income'!Z26</f>
        <v>1291.77</v>
      </c>
      <c r="AC7" s="60">
        <f>'Cost and Income'!AA26</f>
        <v>1291.77</v>
      </c>
      <c r="AD7" s="60">
        <f>'Cost and Income'!AB26</f>
        <v>1291.77</v>
      </c>
      <c r="AE7" s="60">
        <f>'Cost and Income'!AC26</f>
        <v>1291.77</v>
      </c>
      <c r="AF7" s="60">
        <f>'Cost and Income'!AD26</f>
        <v>1291.77</v>
      </c>
      <c r="AG7" s="60">
        <f>'Cost and Income'!AE26</f>
        <v>1291.77</v>
      </c>
      <c r="AH7" s="60">
        <f>'Cost and Income'!AF26</f>
        <v>1291.77</v>
      </c>
      <c r="AI7" s="60">
        <f>'Cost and Income'!AG26</f>
        <v>1291.77</v>
      </c>
      <c r="AJ7" s="60">
        <f>'Cost and Income'!AH26</f>
        <v>1291.77</v>
      </c>
    </row>
    <row r="8" spans="1:36" s="73" customFormat="1" ht="12.75" customHeight="1">
      <c r="A8" s="134" t="s">
        <v>136</v>
      </c>
      <c r="B8" s="13" t="s">
        <v>399</v>
      </c>
      <c r="C8" s="60">
        <f>SUM(G8:AJ8)</f>
        <v>14879.6</v>
      </c>
      <c r="D8" s="60"/>
      <c r="E8" s="60"/>
      <c r="F8" s="60"/>
      <c r="G8" s="60">
        <f>'Cost and Income'!E18</f>
        <v>743.98</v>
      </c>
      <c r="H8" s="60">
        <f>'Cost and Income'!F18</f>
        <v>743.98</v>
      </c>
      <c r="I8" s="60">
        <f>'Cost and Income'!G18</f>
        <v>743.98</v>
      </c>
      <c r="J8" s="60">
        <f>'Cost and Income'!H18</f>
        <v>743.98</v>
      </c>
      <c r="K8" s="60">
        <f>'Cost and Income'!I18</f>
        <v>743.98</v>
      </c>
      <c r="L8" s="60">
        <f>'Cost and Income'!J18</f>
        <v>743.98</v>
      </c>
      <c r="M8" s="60">
        <f>'Cost and Income'!K18</f>
        <v>743.98</v>
      </c>
      <c r="N8" s="60">
        <f>'Cost and Income'!L18</f>
        <v>743.98</v>
      </c>
      <c r="O8" s="60">
        <f>'Cost and Income'!M18</f>
        <v>743.98</v>
      </c>
      <c r="P8" s="60">
        <f>'Cost and Income'!N18</f>
        <v>743.98</v>
      </c>
      <c r="Q8" s="60">
        <f>'Cost and Income'!O18</f>
        <v>743.98</v>
      </c>
      <c r="R8" s="60">
        <f>'Cost and Income'!P18</f>
        <v>743.98</v>
      </c>
      <c r="S8" s="60">
        <f>'Cost and Income'!Q18</f>
        <v>743.98</v>
      </c>
      <c r="T8" s="60">
        <f>'Cost and Income'!R18</f>
        <v>743.98</v>
      </c>
      <c r="U8" s="60">
        <f>'Cost and Income'!S18</f>
        <v>743.98</v>
      </c>
      <c r="V8" s="60">
        <f>'Cost and Income'!T18</f>
        <v>743.98</v>
      </c>
      <c r="W8" s="60">
        <f>'Cost and Income'!U18</f>
        <v>743.98</v>
      </c>
      <c r="X8" s="60">
        <f>'Cost and Income'!V18</f>
        <v>743.98</v>
      </c>
      <c r="Y8" s="60">
        <f>'Cost and Income'!W18</f>
        <v>743.98</v>
      </c>
      <c r="Z8" s="60">
        <f>'Cost and Income'!X18</f>
        <v>743.98</v>
      </c>
      <c r="AA8" s="60">
        <f>'Cost and Income'!Y18</f>
        <v>0</v>
      </c>
      <c r="AB8" s="60">
        <f>'Cost and Income'!Z18</f>
        <v>0</v>
      </c>
      <c r="AC8" s="60">
        <f>'Cost and Income'!AA18</f>
        <v>0</v>
      </c>
      <c r="AD8" s="60">
        <f>'Cost and Income'!AB18</f>
        <v>0</v>
      </c>
      <c r="AE8" s="60">
        <f>'Cost and Income'!AC18</f>
        <v>0</v>
      </c>
      <c r="AF8" s="60">
        <f>'Cost and Income'!AD18</f>
        <v>0</v>
      </c>
      <c r="AG8" s="60">
        <f>'Cost and Income'!AE18</f>
        <v>0</v>
      </c>
      <c r="AH8" s="60">
        <f>'Cost and Income'!AF18</f>
        <v>0</v>
      </c>
      <c r="AI8" s="60">
        <f>'Cost and Income'!AG18</f>
        <v>0</v>
      </c>
      <c r="AJ8" s="60">
        <f>'Cost and Income'!AH18</f>
        <v>0</v>
      </c>
    </row>
    <row r="9" spans="1:36" s="73" customFormat="1" ht="12.75" customHeight="1">
      <c r="A9" s="134" t="s">
        <v>137</v>
      </c>
      <c r="B9" s="13" t="s">
        <v>400</v>
      </c>
      <c r="C9" s="54">
        <f>SUM(D9:E9)</f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s="73" customFormat="1" ht="12.75" customHeight="1">
      <c r="A10" s="134" t="s">
        <v>138</v>
      </c>
      <c r="B10" s="13" t="s">
        <v>401</v>
      </c>
      <c r="C10" s="60">
        <f>SUM(D10:F10)</f>
        <v>14430</v>
      </c>
      <c r="D10" s="60">
        <f>D11+D12</f>
        <v>0</v>
      </c>
      <c r="E10" s="60">
        <f>E11+E12</f>
        <v>7892</v>
      </c>
      <c r="F10" s="60">
        <f>F11+F12</f>
        <v>6538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s="73" customFormat="1" ht="12.75" customHeight="1">
      <c r="A11" s="134" t="s">
        <v>139</v>
      </c>
      <c r="B11" s="13" t="s">
        <v>140</v>
      </c>
      <c r="C11" s="60">
        <f>SUM(D11:F11)</f>
        <v>6734</v>
      </c>
      <c r="D11" s="63">
        <f>'Investment Plan'!D26+'Investment Plan'!D27</f>
        <v>0</v>
      </c>
      <c r="E11" s="63">
        <f>'Investment Plan'!E26+'Investment Plan'!E27</f>
        <v>4044</v>
      </c>
      <c r="F11" s="63">
        <f>'Investment Plan'!F26+'Investment Plan'!F27</f>
        <v>2690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s="73" customFormat="1" ht="12.75" customHeight="1">
      <c r="A12" s="134" t="s">
        <v>141</v>
      </c>
      <c r="B12" s="13" t="s">
        <v>402</v>
      </c>
      <c r="C12" s="60">
        <f>SUM(D12:F12)</f>
        <v>7696</v>
      </c>
      <c r="D12" s="63">
        <f>'Investment Plan'!D29</f>
        <v>0</v>
      </c>
      <c r="E12" s="63">
        <f>'Investment Plan'!E29</f>
        <v>3848</v>
      </c>
      <c r="F12" s="63">
        <f>'Investment Plan'!F29</f>
        <v>3848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s="73" customFormat="1" ht="12.75" customHeight="1">
      <c r="A13" s="134" t="s">
        <v>246</v>
      </c>
      <c r="B13" s="13" t="s">
        <v>403</v>
      </c>
      <c r="C13" s="60">
        <f>SUM(D13:F13)</f>
        <v>449.67</v>
      </c>
      <c r="D13" s="63">
        <f>'Investment Plan'!D20</f>
        <v>0</v>
      </c>
      <c r="E13" s="63">
        <f>'Investment Plan'!E20</f>
        <v>110.82</v>
      </c>
      <c r="F13" s="63">
        <f>'Investment Plan'!F20</f>
        <v>338.85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s="73" customFormat="1" ht="12.75" customHeight="1">
      <c r="A14" s="134" t="s">
        <v>142</v>
      </c>
      <c r="B14" s="13" t="s">
        <v>381</v>
      </c>
      <c r="C14" s="60">
        <f>SUM(G14:AJ14)</f>
        <v>9399.18</v>
      </c>
      <c r="D14" s="60"/>
      <c r="E14" s="60"/>
      <c r="F14" s="60"/>
      <c r="G14" s="60">
        <f>'Cash Flow'!G15</f>
        <v>447.58</v>
      </c>
      <c r="H14" s="60">
        <f>'Cash Flow'!H15</f>
        <v>447.58</v>
      </c>
      <c r="I14" s="60">
        <f>'Cash Flow'!I15</f>
        <v>447.58</v>
      </c>
      <c r="J14" s="60">
        <f>'Cash Flow'!J15</f>
        <v>447.58</v>
      </c>
      <c r="K14" s="60">
        <f>'Cash Flow'!K15</f>
        <v>447.58</v>
      </c>
      <c r="L14" s="60">
        <f>'Cash Flow'!L15</f>
        <v>447.58</v>
      </c>
      <c r="M14" s="60">
        <f>'Cash Flow'!M15</f>
        <v>447.58</v>
      </c>
      <c r="N14" s="60">
        <f>'Cash Flow'!N15</f>
        <v>447.58</v>
      </c>
      <c r="O14" s="60">
        <f>'Cash Flow'!O15</f>
        <v>447.58</v>
      </c>
      <c r="P14" s="60">
        <f>'Cash Flow'!P15</f>
        <v>447.58</v>
      </c>
      <c r="Q14" s="60">
        <f>'Cash Flow'!Q15</f>
        <v>447.58</v>
      </c>
      <c r="R14" s="60">
        <f>'Cash Flow'!R15</f>
        <v>447.58</v>
      </c>
      <c r="S14" s="60">
        <f>'Cash Flow'!S15</f>
        <v>447.58</v>
      </c>
      <c r="T14" s="60">
        <f>'Cash Flow'!T15</f>
        <v>447.58</v>
      </c>
      <c r="U14" s="60">
        <f>'Cash Flow'!U15</f>
        <v>447.58</v>
      </c>
      <c r="V14" s="60">
        <f>'Cash Flow'!V15</f>
        <v>447.58</v>
      </c>
      <c r="W14" s="60">
        <f>'Cash Flow'!W15</f>
        <v>447.58</v>
      </c>
      <c r="X14" s="60">
        <f>'Cash Flow'!X15</f>
        <v>447.58</v>
      </c>
      <c r="Y14" s="60">
        <f>'Cash Flow'!Y15</f>
        <v>447.58</v>
      </c>
      <c r="Z14" s="60">
        <f>'Cash Flow'!Z15</f>
        <v>447.58</v>
      </c>
      <c r="AA14" s="60">
        <f>'Cash Flow'!AA15</f>
        <v>447.58</v>
      </c>
      <c r="AB14" s="60">
        <f>'Cash Flow'!AB15</f>
        <v>0</v>
      </c>
      <c r="AC14" s="60">
        <f>'Cash Flow'!AC15</f>
        <v>0</v>
      </c>
      <c r="AD14" s="60">
        <f>'Cash Flow'!AD15</f>
        <v>0</v>
      </c>
      <c r="AE14" s="60">
        <f>'Cash Flow'!AE15</f>
        <v>0</v>
      </c>
      <c r="AF14" s="60">
        <f>'Cash Flow'!AF15</f>
        <v>0</v>
      </c>
      <c r="AG14" s="60">
        <f>'Cash Flow'!AG15</f>
        <v>0</v>
      </c>
      <c r="AH14" s="60">
        <f>'Cash Flow'!AH15</f>
        <v>0</v>
      </c>
      <c r="AI14" s="60">
        <f>'Cash Flow'!AI15</f>
        <v>0</v>
      </c>
      <c r="AJ14" s="60">
        <f>'Cash Flow'!AJ15</f>
        <v>0</v>
      </c>
    </row>
    <row r="15" spans="1:36" s="73" customFormat="1" ht="12.75" customHeight="1">
      <c r="A15" s="134" t="s">
        <v>247</v>
      </c>
      <c r="B15" s="13" t="s">
        <v>404</v>
      </c>
      <c r="C15" s="60">
        <f>SUM(D15:AJ15)</f>
        <v>1719.9</v>
      </c>
      <c r="D15" s="60"/>
      <c r="E15" s="60"/>
      <c r="F15" s="60"/>
      <c r="G15" s="60">
        <f>'Repayment of Principal'!E23</f>
        <v>245.7</v>
      </c>
      <c r="H15" s="60">
        <f>'Repayment of Principal'!F23</f>
        <v>245.7</v>
      </c>
      <c r="I15" s="60">
        <f>'Repayment of Principal'!G23</f>
        <v>245.7</v>
      </c>
      <c r="J15" s="60">
        <f>'Repayment of Principal'!H23</f>
        <v>245.7</v>
      </c>
      <c r="K15" s="60">
        <f>'Repayment of Principal'!I23</f>
        <v>245.7</v>
      </c>
      <c r="L15" s="60">
        <f>'Repayment of Principal'!J23</f>
        <v>245.7</v>
      </c>
      <c r="M15" s="60">
        <f>'Repayment of Principal'!K23</f>
        <v>245.7</v>
      </c>
      <c r="N15" s="60">
        <f>'Repayment of Principal'!L23</f>
        <v>0</v>
      </c>
      <c r="O15" s="60">
        <f>'Repayment of Principal'!M23</f>
        <v>0</v>
      </c>
      <c r="P15" s="60">
        <f>'Repayment of Principal'!N23</f>
        <v>0</v>
      </c>
      <c r="Q15" s="60">
        <f>'Repayment of Principal'!O23</f>
        <v>0</v>
      </c>
      <c r="R15" s="60">
        <f>'Repayment of Principal'!P23</f>
        <v>0</v>
      </c>
      <c r="S15" s="60">
        <f>'Repayment of Principal'!Q23</f>
        <v>0</v>
      </c>
      <c r="T15" s="60">
        <f>'Repayment of Principal'!R23</f>
        <v>0</v>
      </c>
      <c r="U15" s="60">
        <f>'Repayment of Principal'!S23</f>
        <v>0</v>
      </c>
      <c r="V15" s="60">
        <f>'Repayment of Principal'!T23</f>
        <v>0</v>
      </c>
      <c r="W15" s="60">
        <f>'Repayment of Principal'!U23</f>
        <v>0</v>
      </c>
      <c r="X15" s="60">
        <f>'Repayment of Principal'!V23</f>
        <v>0</v>
      </c>
      <c r="Y15" s="60">
        <f>'Repayment of Principal'!W23</f>
        <v>0</v>
      </c>
      <c r="Z15" s="60">
        <f>'Repayment of Principal'!X23</f>
        <v>0</v>
      </c>
      <c r="AA15" s="60">
        <f>'Repayment of Principal'!Y23</f>
        <v>0</v>
      </c>
      <c r="AB15" s="60">
        <f>'Repayment of Principal'!Z23</f>
        <v>0</v>
      </c>
      <c r="AC15" s="60">
        <f>'Repayment of Principal'!AA23</f>
        <v>0</v>
      </c>
      <c r="AD15" s="60">
        <f>'Repayment of Principal'!AB23</f>
        <v>0</v>
      </c>
      <c r="AE15" s="60">
        <f>'Repayment of Principal'!AC23</f>
        <v>0</v>
      </c>
      <c r="AF15" s="60">
        <f>'Repayment of Principal'!AD23</f>
        <v>0</v>
      </c>
      <c r="AG15" s="60">
        <f>'Repayment of Principal'!AE23</f>
        <v>0</v>
      </c>
      <c r="AH15" s="60">
        <f>'Repayment of Principal'!AF23</f>
        <v>0</v>
      </c>
      <c r="AI15" s="60">
        <f>'Repayment of Principal'!AG23</f>
        <v>0</v>
      </c>
      <c r="AJ15" s="60">
        <f>'Repayment of Principal'!AH23</f>
        <v>0</v>
      </c>
    </row>
    <row r="16" spans="1:36" s="73" customFormat="1" ht="12.75" customHeight="1">
      <c r="A16" s="134" t="s">
        <v>248</v>
      </c>
      <c r="B16" s="13" t="s">
        <v>405</v>
      </c>
      <c r="C16" s="61">
        <f>SUM(D16:AJ16)</f>
        <v>0.07</v>
      </c>
      <c r="D16" s="61"/>
      <c r="E16" s="61"/>
      <c r="F16" s="61"/>
      <c r="G16" s="61">
        <f>'Cash Flow'!G13</f>
        <v>0</v>
      </c>
      <c r="H16" s="61">
        <f>'Cash Flow'!H13</f>
        <v>0</v>
      </c>
      <c r="I16" s="61">
        <f>'Cash Flow'!I13</f>
        <v>0</v>
      </c>
      <c r="J16" s="61">
        <f>'Cash Flow'!J13</f>
        <v>0</v>
      </c>
      <c r="K16" s="61">
        <f>'Cash Flow'!K13</f>
        <v>0</v>
      </c>
      <c r="L16" s="61">
        <f>'Cash Flow'!L13</f>
        <v>0</v>
      </c>
      <c r="M16" s="61">
        <f>'Cash Flow'!M13</f>
        <v>0</v>
      </c>
      <c r="N16" s="61">
        <f>'Cash Flow'!N13</f>
        <v>0</v>
      </c>
      <c r="O16" s="61">
        <f>'Cash Flow'!O13</f>
        <v>0</v>
      </c>
      <c r="P16" s="61">
        <f>'Cash Flow'!P13</f>
        <v>0</v>
      </c>
      <c r="Q16" s="61">
        <f>'Cash Flow'!Q13</f>
        <v>0</v>
      </c>
      <c r="R16" s="61">
        <f>'Cash Flow'!R13</f>
        <v>0</v>
      </c>
      <c r="S16" s="61">
        <f>'Cash Flow'!S13</f>
        <v>0</v>
      </c>
      <c r="T16" s="61">
        <f>'Cash Flow'!T13</f>
        <v>0</v>
      </c>
      <c r="U16" s="61">
        <f>'Cash Flow'!U13</f>
        <v>0</v>
      </c>
      <c r="V16" s="61">
        <f>'Cash Flow'!V13</f>
        <v>0</v>
      </c>
      <c r="W16" s="61">
        <f>'Cash Flow'!W13</f>
        <v>0</v>
      </c>
      <c r="X16" s="61">
        <f>'Cash Flow'!X13</f>
        <v>0</v>
      </c>
      <c r="Y16" s="61">
        <f>'Cash Flow'!Y13</f>
        <v>0</v>
      </c>
      <c r="Z16" s="61">
        <f>'Cash Flow'!Z13</f>
        <v>0</v>
      </c>
      <c r="AA16" s="61">
        <f>'Cash Flow'!AA13</f>
        <v>0</v>
      </c>
      <c r="AB16" s="61">
        <f>'Cash Flow'!AB13</f>
        <v>0</v>
      </c>
      <c r="AC16" s="61">
        <f>'Cash Flow'!AC13</f>
        <v>0</v>
      </c>
      <c r="AD16" s="61">
        <f>'Cash Flow'!AD13</f>
        <v>0</v>
      </c>
      <c r="AE16" s="61">
        <f>'Cash Flow'!AE13</f>
        <v>0</v>
      </c>
      <c r="AF16" s="61">
        <f>'Cash Flow'!AF13</f>
        <v>0</v>
      </c>
      <c r="AG16" s="61">
        <f>'Cash Flow'!AG13</f>
        <v>0</v>
      </c>
      <c r="AH16" s="61">
        <f>'Cash Flow'!AH13</f>
        <v>0</v>
      </c>
      <c r="AI16" s="61">
        <f>'Cash Flow'!AI13</f>
        <v>0</v>
      </c>
      <c r="AJ16" s="61">
        <f>'Cash Flow'!AJ13</f>
        <v>0.07</v>
      </c>
    </row>
    <row r="17" spans="1:36" s="73" customFormat="1" ht="12.75" customHeight="1">
      <c r="A17" s="134" t="s">
        <v>249</v>
      </c>
      <c r="B17" s="13" t="s">
        <v>143</v>
      </c>
      <c r="C17" s="60">
        <f>SUM(G17:AJ17)</f>
        <v>6</v>
      </c>
      <c r="D17" s="60"/>
      <c r="E17" s="60"/>
      <c r="F17" s="60"/>
      <c r="G17" s="60">
        <f>'Cash Flow'!G14</f>
        <v>0</v>
      </c>
      <c r="H17" s="60">
        <f>'Cash Flow'!H14</f>
        <v>0</v>
      </c>
      <c r="I17" s="60">
        <f>'Cash Flow'!I14</f>
        <v>0</v>
      </c>
      <c r="J17" s="60">
        <f>'Cash Flow'!J14</f>
        <v>0</v>
      </c>
      <c r="K17" s="60">
        <f>'Cash Flow'!K14</f>
        <v>0</v>
      </c>
      <c r="L17" s="60">
        <f>'Cash Flow'!L14</f>
        <v>0</v>
      </c>
      <c r="M17" s="60">
        <f>'Cash Flow'!M14</f>
        <v>0</v>
      </c>
      <c r="N17" s="60">
        <f>'Cash Flow'!N14</f>
        <v>0</v>
      </c>
      <c r="O17" s="60">
        <f>'Cash Flow'!O14</f>
        <v>0</v>
      </c>
      <c r="P17" s="60">
        <f>'Cash Flow'!P14</f>
        <v>0</v>
      </c>
      <c r="Q17" s="60">
        <f>'Cash Flow'!Q14</f>
        <v>0</v>
      </c>
      <c r="R17" s="60">
        <f>'Cash Flow'!R14</f>
        <v>0</v>
      </c>
      <c r="S17" s="60">
        <f>'Cash Flow'!S14</f>
        <v>0</v>
      </c>
      <c r="T17" s="60">
        <f>'Cash Flow'!T14</f>
        <v>0</v>
      </c>
      <c r="U17" s="60">
        <f>'Cash Flow'!U14</f>
        <v>0</v>
      </c>
      <c r="V17" s="60">
        <f>'Cash Flow'!V14</f>
        <v>0</v>
      </c>
      <c r="W17" s="60">
        <f>'Cash Flow'!W14</f>
        <v>0</v>
      </c>
      <c r="X17" s="60">
        <f>'Cash Flow'!X14</f>
        <v>0</v>
      </c>
      <c r="Y17" s="60">
        <f>'Cash Flow'!Y14</f>
        <v>0</v>
      </c>
      <c r="Z17" s="60">
        <f>'Cash Flow'!Z14</f>
        <v>0</v>
      </c>
      <c r="AA17" s="60">
        <f>'Cash Flow'!AA14</f>
        <v>0</v>
      </c>
      <c r="AB17" s="60">
        <f>'Cash Flow'!AB14</f>
        <v>0</v>
      </c>
      <c r="AC17" s="60">
        <f>'Cash Flow'!AC14</f>
        <v>0</v>
      </c>
      <c r="AD17" s="60">
        <f>'Cash Flow'!AD14</f>
        <v>0</v>
      </c>
      <c r="AE17" s="60">
        <f>'Cash Flow'!AE14</f>
        <v>0</v>
      </c>
      <c r="AF17" s="60">
        <f>'Cash Flow'!AF14</f>
        <v>0</v>
      </c>
      <c r="AG17" s="60">
        <f>'Cash Flow'!AG14</f>
        <v>0</v>
      </c>
      <c r="AH17" s="60">
        <f>'Cash Flow'!AH14</f>
        <v>0</v>
      </c>
      <c r="AI17" s="60">
        <f>'Cash Flow'!AI14</f>
        <v>0</v>
      </c>
      <c r="AJ17" s="60">
        <f>'Cash Flow'!AJ14</f>
        <v>6</v>
      </c>
    </row>
    <row r="18" spans="1:36" s="73" customFormat="1" ht="7.5" customHeight="1">
      <c r="A18" s="134"/>
      <c r="B18" s="13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s="73" customFormat="1" ht="12.75" customHeight="1">
      <c r="A19" s="134">
        <v>2</v>
      </c>
      <c r="B19" s="13" t="s">
        <v>406</v>
      </c>
      <c r="C19" s="62">
        <f>SUM(D19:AJ19)</f>
        <v>34617.62</v>
      </c>
      <c r="D19" s="60">
        <f>SUM(D21:D28,D31)</f>
        <v>0</v>
      </c>
      <c r="E19" s="60">
        <f aca="true" t="shared" si="1" ref="E19:AJ19">SUM(E21:E28,E31)</f>
        <v>8002.82</v>
      </c>
      <c r="F19" s="60">
        <f t="shared" si="1"/>
        <v>6882.85</v>
      </c>
      <c r="G19" s="60">
        <f t="shared" si="1"/>
        <v>1480.32</v>
      </c>
      <c r="H19" s="60">
        <f t="shared" si="1"/>
        <v>1480.32</v>
      </c>
      <c r="I19" s="60">
        <f t="shared" si="1"/>
        <v>1516.92</v>
      </c>
      <c r="J19" s="60">
        <f t="shared" si="1"/>
        <v>1516.92</v>
      </c>
      <c r="K19" s="60">
        <f t="shared" si="1"/>
        <v>1560.86</v>
      </c>
      <c r="L19" s="60">
        <f t="shared" si="1"/>
        <v>1560.86</v>
      </c>
      <c r="M19" s="60">
        <f t="shared" si="1"/>
        <v>1560.86</v>
      </c>
      <c r="N19" s="60">
        <f t="shared" si="1"/>
        <v>676.95</v>
      </c>
      <c r="O19" s="60">
        <f t="shared" si="1"/>
        <v>229.37</v>
      </c>
      <c r="P19" s="60">
        <f t="shared" si="1"/>
        <v>229.37</v>
      </c>
      <c r="Q19" s="60">
        <f t="shared" si="1"/>
        <v>235.82</v>
      </c>
      <c r="R19" s="60">
        <f t="shared" si="1"/>
        <v>235.82</v>
      </c>
      <c r="S19" s="60">
        <f t="shared" si="1"/>
        <v>235.82</v>
      </c>
      <c r="T19" s="60">
        <f t="shared" si="1"/>
        <v>235.82</v>
      </c>
      <c r="U19" s="60">
        <f t="shared" si="1"/>
        <v>235.82</v>
      </c>
      <c r="V19" s="60">
        <f t="shared" si="1"/>
        <v>235.82</v>
      </c>
      <c r="W19" s="60">
        <f t="shared" si="1"/>
        <v>235.82</v>
      </c>
      <c r="X19" s="60">
        <f t="shared" si="1"/>
        <v>235.82</v>
      </c>
      <c r="Y19" s="60">
        <f t="shared" si="1"/>
        <v>235.82</v>
      </c>
      <c r="Z19" s="60">
        <f t="shared" si="1"/>
        <v>235.82</v>
      </c>
      <c r="AA19" s="60">
        <f t="shared" si="1"/>
        <v>556.1</v>
      </c>
      <c r="AB19" s="60">
        <f t="shared" si="1"/>
        <v>556.1</v>
      </c>
      <c r="AC19" s="60">
        <f t="shared" si="1"/>
        <v>556.1</v>
      </c>
      <c r="AD19" s="60">
        <f t="shared" si="1"/>
        <v>556.1</v>
      </c>
      <c r="AE19" s="60">
        <f t="shared" si="1"/>
        <v>556.1</v>
      </c>
      <c r="AF19" s="60">
        <f t="shared" si="1"/>
        <v>556.1</v>
      </c>
      <c r="AG19" s="60">
        <f t="shared" si="1"/>
        <v>556.1</v>
      </c>
      <c r="AH19" s="60">
        <f t="shared" si="1"/>
        <v>556.1</v>
      </c>
      <c r="AI19" s="60">
        <f t="shared" si="1"/>
        <v>556.1</v>
      </c>
      <c r="AJ19" s="60">
        <f t="shared" si="1"/>
        <v>556.1</v>
      </c>
    </row>
    <row r="20" spans="1:36" s="73" customFormat="1" ht="12.75" customHeight="1">
      <c r="A20" s="134" t="s">
        <v>144</v>
      </c>
      <c r="B20" s="13" t="s">
        <v>407</v>
      </c>
      <c r="C20" s="60">
        <f>SUM(D20:F20)</f>
        <v>14430</v>
      </c>
      <c r="D20" s="60">
        <f>D21+D22</f>
        <v>0</v>
      </c>
      <c r="E20" s="60">
        <f>E21+E22</f>
        <v>7892</v>
      </c>
      <c r="F20" s="60">
        <f>F21+F22</f>
        <v>6538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s="73" customFormat="1" ht="12.75" customHeight="1">
      <c r="A21" s="134" t="s">
        <v>145</v>
      </c>
      <c r="B21" s="13" t="s">
        <v>146</v>
      </c>
      <c r="C21" s="60">
        <f>SUM(D21:F21)</f>
        <v>6734</v>
      </c>
      <c r="D21" s="60">
        <f aca="true" t="shared" si="2" ref="D21:F23">D11</f>
        <v>0</v>
      </c>
      <c r="E21" s="60">
        <f t="shared" si="2"/>
        <v>4044</v>
      </c>
      <c r="F21" s="60">
        <f t="shared" si="2"/>
        <v>2690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s="73" customFormat="1" ht="12.75" customHeight="1">
      <c r="A22" s="134" t="s">
        <v>147</v>
      </c>
      <c r="B22" s="13" t="s">
        <v>402</v>
      </c>
      <c r="C22" s="60">
        <f>SUM(D22:F22)</f>
        <v>7696</v>
      </c>
      <c r="D22" s="60">
        <f t="shared" si="2"/>
        <v>0</v>
      </c>
      <c r="E22" s="60">
        <f t="shared" si="2"/>
        <v>3848</v>
      </c>
      <c r="F22" s="60">
        <f t="shared" si="2"/>
        <v>3848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s="73" customFormat="1" ht="12.75" customHeight="1">
      <c r="A23" s="134" t="s">
        <v>148</v>
      </c>
      <c r="B23" s="13" t="s">
        <v>408</v>
      </c>
      <c r="C23" s="60">
        <f>SUM(D23:F23)</f>
        <v>449.67</v>
      </c>
      <c r="D23" s="60">
        <f t="shared" si="2"/>
        <v>0</v>
      </c>
      <c r="E23" s="60">
        <f t="shared" si="2"/>
        <v>110.82</v>
      </c>
      <c r="F23" s="60">
        <f t="shared" si="2"/>
        <v>338.85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s="73" customFormat="1" ht="12.75" customHeight="1">
      <c r="A24" s="134" t="s">
        <v>250</v>
      </c>
      <c r="B24" s="13" t="s">
        <v>149</v>
      </c>
      <c r="C24" s="60">
        <f>SUM(D24:F24)</f>
        <v>6</v>
      </c>
      <c r="D24" s="60">
        <f>'Investment Plan'!D21</f>
        <v>0</v>
      </c>
      <c r="E24" s="60">
        <f>'Investment Plan'!E21</f>
        <v>0</v>
      </c>
      <c r="F24" s="60">
        <f>'Investment Plan'!F21</f>
        <v>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s="73" customFormat="1" ht="12.75" customHeight="1">
      <c r="A25" s="134" t="s">
        <v>251</v>
      </c>
      <c r="B25" s="135" t="str">
        <f>'Cost and Income'!B27</f>
        <v>Income tax</v>
      </c>
      <c r="C25" s="60">
        <f aca="true" t="shared" si="3" ref="C25:C31">SUM(D25:AJ25)</f>
        <v>6968.3</v>
      </c>
      <c r="D25" s="60"/>
      <c r="E25" s="60"/>
      <c r="F25" s="60"/>
      <c r="G25" s="60">
        <f>'Cost and Income'!E27</f>
        <v>0</v>
      </c>
      <c r="H25" s="60">
        <f>'Cost and Income'!F27</f>
        <v>0</v>
      </c>
      <c r="I25" s="60">
        <f>'Cost and Income'!G27</f>
        <v>43.06</v>
      </c>
      <c r="J25" s="60">
        <f>'Cost and Income'!H27</f>
        <v>43.06</v>
      </c>
      <c r="K25" s="60">
        <f>'Cost and Income'!I27</f>
        <v>94.74</v>
      </c>
      <c r="L25" s="60">
        <f>'Cost and Income'!J27</f>
        <v>94.74</v>
      </c>
      <c r="M25" s="60">
        <f>'Cost and Income'!K27</f>
        <v>94.74</v>
      </c>
      <c r="N25" s="60">
        <f>'Cost and Income'!L27</f>
        <v>175.82</v>
      </c>
      <c r="O25" s="60">
        <f>'Cost and Income'!M27</f>
        <v>175.82</v>
      </c>
      <c r="P25" s="60">
        <f>'Cost and Income'!N27</f>
        <v>175.82</v>
      </c>
      <c r="Q25" s="60">
        <f>'Cost and Income'!O27</f>
        <v>180.77</v>
      </c>
      <c r="R25" s="60">
        <f>'Cost and Income'!P27</f>
        <v>180.77</v>
      </c>
      <c r="S25" s="60">
        <f>'Cost and Income'!Q27</f>
        <v>180.77</v>
      </c>
      <c r="T25" s="60">
        <f>'Cost and Income'!R27</f>
        <v>180.77</v>
      </c>
      <c r="U25" s="60">
        <f>'Cost and Income'!S27</f>
        <v>180.77</v>
      </c>
      <c r="V25" s="60">
        <f>'Cost and Income'!T27</f>
        <v>180.77</v>
      </c>
      <c r="W25" s="60">
        <f>'Cost and Income'!U27</f>
        <v>180.77</v>
      </c>
      <c r="X25" s="60">
        <f>'Cost and Income'!V27</f>
        <v>180.77</v>
      </c>
      <c r="Y25" s="60">
        <f>'Cost and Income'!W27</f>
        <v>180.77</v>
      </c>
      <c r="Z25" s="60">
        <f>'Cost and Income'!X27</f>
        <v>180.77</v>
      </c>
      <c r="AA25" s="60">
        <f>'Cost and Income'!Y27</f>
        <v>426.28</v>
      </c>
      <c r="AB25" s="60">
        <f>'Cost and Income'!Z27</f>
        <v>426.28</v>
      </c>
      <c r="AC25" s="60">
        <f>'Cost and Income'!AA27</f>
        <v>426.28</v>
      </c>
      <c r="AD25" s="60">
        <f>'Cost and Income'!AB27</f>
        <v>426.28</v>
      </c>
      <c r="AE25" s="60">
        <f>'Cost and Income'!AC27</f>
        <v>426.28</v>
      </c>
      <c r="AF25" s="60">
        <f>'Cost and Income'!AD27</f>
        <v>426.28</v>
      </c>
      <c r="AG25" s="60">
        <f>'Cost and Income'!AE27</f>
        <v>426.28</v>
      </c>
      <c r="AH25" s="60">
        <f>'Cost and Income'!AF27</f>
        <v>426.28</v>
      </c>
      <c r="AI25" s="60">
        <f>'Cost and Income'!AG27</f>
        <v>426.28</v>
      </c>
      <c r="AJ25" s="60">
        <f>'Cost and Income'!AH27</f>
        <v>426.28</v>
      </c>
    </row>
    <row r="26" spans="1:36" s="73" customFormat="1" ht="12.75" customHeight="1">
      <c r="A26" s="134" t="s">
        <v>252</v>
      </c>
      <c r="B26" s="135" t="str">
        <f>'Cost and Income'!B31</f>
        <v>Profits payable ( capital×  %)</v>
      </c>
      <c r="C26" s="60">
        <f t="shared" si="3"/>
        <v>0</v>
      </c>
      <c r="D26" s="60"/>
      <c r="E26" s="60"/>
      <c r="F26" s="60"/>
      <c r="G26" s="60">
        <f>'Cost and Income'!E31</f>
        <v>0</v>
      </c>
      <c r="H26" s="60">
        <f>'Cost and Income'!F31</f>
        <v>0</v>
      </c>
      <c r="I26" s="60">
        <f>'Cost and Income'!G31</f>
        <v>0</v>
      </c>
      <c r="J26" s="60">
        <f>'Cost and Income'!H31</f>
        <v>0</v>
      </c>
      <c r="K26" s="60">
        <f>'Cost and Income'!I31</f>
        <v>0</v>
      </c>
      <c r="L26" s="60">
        <f>'Cost and Income'!J31</f>
        <v>0</v>
      </c>
      <c r="M26" s="60">
        <f>'Cost and Income'!K31</f>
        <v>0</v>
      </c>
      <c r="N26" s="60">
        <f>'Cost and Income'!L31</f>
        <v>0</v>
      </c>
      <c r="O26" s="60">
        <f>'Cost and Income'!M31</f>
        <v>0</v>
      </c>
      <c r="P26" s="60">
        <f>'Cost and Income'!N31</f>
        <v>0</v>
      </c>
      <c r="Q26" s="60">
        <f>'Cost and Income'!O31</f>
        <v>0</v>
      </c>
      <c r="R26" s="60">
        <f>'Cost and Income'!P31</f>
        <v>0</v>
      </c>
      <c r="S26" s="60">
        <f>'Cost and Income'!Q31</f>
        <v>0</v>
      </c>
      <c r="T26" s="60">
        <f>'Cost and Income'!R31</f>
        <v>0</v>
      </c>
      <c r="U26" s="60">
        <f>'Cost and Income'!S31</f>
        <v>0</v>
      </c>
      <c r="V26" s="60">
        <f>'Cost and Income'!T31</f>
        <v>0</v>
      </c>
      <c r="W26" s="60">
        <f>'Cost and Income'!U31</f>
        <v>0</v>
      </c>
      <c r="X26" s="60">
        <f>'Cost and Income'!V31</f>
        <v>0</v>
      </c>
      <c r="Y26" s="60">
        <f>'Cost and Income'!W31</f>
        <v>0</v>
      </c>
      <c r="Z26" s="60">
        <f>'Cost and Income'!X31</f>
        <v>0</v>
      </c>
      <c r="AA26" s="60">
        <f>'Cost and Income'!Y31</f>
        <v>0</v>
      </c>
      <c r="AB26" s="60">
        <f>'Cost and Income'!Z31</f>
        <v>0</v>
      </c>
      <c r="AC26" s="60">
        <f>'Cost and Income'!AA31</f>
        <v>0</v>
      </c>
      <c r="AD26" s="60">
        <f>'Cost and Income'!AB31</f>
        <v>0</v>
      </c>
      <c r="AE26" s="60">
        <f>'Cost and Income'!AC31</f>
        <v>0</v>
      </c>
      <c r="AF26" s="60">
        <f>'Cost and Income'!AD31</f>
        <v>0</v>
      </c>
      <c r="AG26" s="60">
        <f>'Cost and Income'!AE31</f>
        <v>0</v>
      </c>
      <c r="AH26" s="60">
        <f>'Cost and Income'!AF31</f>
        <v>0</v>
      </c>
      <c r="AI26" s="60">
        <f>'Cost and Income'!AG31</f>
        <v>0</v>
      </c>
      <c r="AJ26" s="60">
        <f>'Cost and Income'!AH31</f>
        <v>0</v>
      </c>
    </row>
    <row r="27" spans="1:36" s="73" customFormat="1" ht="12.75" customHeight="1">
      <c r="A27" s="134" t="s">
        <v>253</v>
      </c>
      <c r="B27" s="13" t="s">
        <v>409</v>
      </c>
      <c r="C27" s="60">
        <f t="shared" si="3"/>
        <v>2255.25</v>
      </c>
      <c r="D27" s="60"/>
      <c r="E27" s="60"/>
      <c r="F27" s="60"/>
      <c r="G27" s="60">
        <f>'Cost and Income'!E29+'Cost and Income'!E30</f>
        <v>43.06</v>
      </c>
      <c r="H27" s="60">
        <f>'Cost and Income'!F29+'Cost and Income'!F30</f>
        <v>43.06</v>
      </c>
      <c r="I27" s="60">
        <f>'Cost and Income'!G29+'Cost and Income'!G30</f>
        <v>36.6</v>
      </c>
      <c r="J27" s="60">
        <f>'Cost and Income'!H29+'Cost and Income'!H30</f>
        <v>36.6</v>
      </c>
      <c r="K27" s="60">
        <f>'Cost and Income'!I29+'Cost and Income'!I30</f>
        <v>28.86</v>
      </c>
      <c r="L27" s="60">
        <f>'Cost and Income'!J29+'Cost and Income'!J30</f>
        <v>28.86</v>
      </c>
      <c r="M27" s="60">
        <f>'Cost and Income'!K29+'Cost and Income'!K30</f>
        <v>28.86</v>
      </c>
      <c r="N27" s="60">
        <f>'Cost and Income'!L29+'Cost and Income'!L30</f>
        <v>53.55</v>
      </c>
      <c r="O27" s="60">
        <f>'Cost and Income'!M29+'Cost and Income'!M30</f>
        <v>53.55</v>
      </c>
      <c r="P27" s="60">
        <f>'Cost and Income'!N29+'Cost and Income'!N30</f>
        <v>53.55</v>
      </c>
      <c r="Q27" s="60">
        <f>'Cost and Income'!O29+'Cost and Income'!O30</f>
        <v>55.05</v>
      </c>
      <c r="R27" s="60">
        <f>'Cost and Income'!P29+'Cost and Income'!P30</f>
        <v>55.05</v>
      </c>
      <c r="S27" s="60">
        <f>'Cost and Income'!Q29+'Cost and Income'!Q30</f>
        <v>55.05</v>
      </c>
      <c r="T27" s="60">
        <f>'Cost and Income'!R29+'Cost and Income'!R30</f>
        <v>55.05</v>
      </c>
      <c r="U27" s="60">
        <f>'Cost and Income'!S29+'Cost and Income'!S30</f>
        <v>55.05</v>
      </c>
      <c r="V27" s="60">
        <f>'Cost and Income'!T29+'Cost and Income'!T30</f>
        <v>55.05</v>
      </c>
      <c r="W27" s="60">
        <f>'Cost and Income'!U29+'Cost and Income'!U30</f>
        <v>55.05</v>
      </c>
      <c r="X27" s="60">
        <f>'Cost and Income'!V29+'Cost and Income'!V30</f>
        <v>55.05</v>
      </c>
      <c r="Y27" s="60">
        <f>'Cost and Income'!W29+'Cost and Income'!W30</f>
        <v>55.05</v>
      </c>
      <c r="Z27" s="60">
        <f>'Cost and Income'!X29+'Cost and Income'!X30</f>
        <v>55.05</v>
      </c>
      <c r="AA27" s="60">
        <f>'Cost and Income'!Y29+'Cost and Income'!Y30</f>
        <v>129.82</v>
      </c>
      <c r="AB27" s="60">
        <f>'Cost and Income'!Z29+'Cost and Income'!Z30</f>
        <v>129.82</v>
      </c>
      <c r="AC27" s="60">
        <f>'Cost and Income'!AA29+'Cost and Income'!AA30</f>
        <v>129.82</v>
      </c>
      <c r="AD27" s="60">
        <f>'Cost and Income'!AB29+'Cost and Income'!AB30</f>
        <v>129.82</v>
      </c>
      <c r="AE27" s="60">
        <f>'Cost and Income'!AC29+'Cost and Income'!AC30</f>
        <v>129.82</v>
      </c>
      <c r="AF27" s="60">
        <f>'Cost and Income'!AD29+'Cost and Income'!AD30</f>
        <v>129.82</v>
      </c>
      <c r="AG27" s="60">
        <f>'Cost and Income'!AE29+'Cost and Income'!AE30</f>
        <v>129.82</v>
      </c>
      <c r="AH27" s="60">
        <f>'Cost and Income'!AF29+'Cost and Income'!AF30</f>
        <v>129.82</v>
      </c>
      <c r="AI27" s="60">
        <f>'Cost and Income'!AG29+'Cost and Income'!AG30</f>
        <v>129.82</v>
      </c>
      <c r="AJ27" s="60">
        <f>'Cost and Income'!AH29+'Cost and Income'!AH30</f>
        <v>129.82</v>
      </c>
    </row>
    <row r="28" spans="1:36" s="73" customFormat="1" ht="12.75" customHeight="1">
      <c r="A28" s="134" t="s">
        <v>254</v>
      </c>
      <c r="B28" s="13" t="s">
        <v>410</v>
      </c>
      <c r="C28" s="60">
        <f t="shared" si="3"/>
        <v>10508.4</v>
      </c>
      <c r="D28" s="60"/>
      <c r="E28" s="60"/>
      <c r="F28" s="60"/>
      <c r="G28" s="60">
        <f aca="true" t="shared" si="4" ref="G28:AJ28">G29+G30</f>
        <v>1437.26</v>
      </c>
      <c r="H28" s="60">
        <f t="shared" si="4"/>
        <v>1437.26</v>
      </c>
      <c r="I28" s="60">
        <f t="shared" si="4"/>
        <v>1437.26</v>
      </c>
      <c r="J28" s="60">
        <f t="shared" si="4"/>
        <v>1437.26</v>
      </c>
      <c r="K28" s="60">
        <f t="shared" si="4"/>
        <v>1437.26</v>
      </c>
      <c r="L28" s="60">
        <f t="shared" si="4"/>
        <v>1437.26</v>
      </c>
      <c r="M28" s="60">
        <f t="shared" si="4"/>
        <v>1437.26</v>
      </c>
      <c r="N28" s="60">
        <f t="shared" si="4"/>
        <v>447.58</v>
      </c>
      <c r="O28" s="60">
        <f t="shared" si="4"/>
        <v>0</v>
      </c>
      <c r="P28" s="60">
        <f t="shared" si="4"/>
        <v>0</v>
      </c>
      <c r="Q28" s="60">
        <f t="shared" si="4"/>
        <v>0</v>
      </c>
      <c r="R28" s="60">
        <f t="shared" si="4"/>
        <v>0</v>
      </c>
      <c r="S28" s="60">
        <f t="shared" si="4"/>
        <v>0</v>
      </c>
      <c r="T28" s="60">
        <f t="shared" si="4"/>
        <v>0</v>
      </c>
      <c r="U28" s="60">
        <f t="shared" si="4"/>
        <v>0</v>
      </c>
      <c r="V28" s="60">
        <f t="shared" si="4"/>
        <v>0</v>
      </c>
      <c r="W28" s="60">
        <f t="shared" si="4"/>
        <v>0</v>
      </c>
      <c r="X28" s="60">
        <f t="shared" si="4"/>
        <v>0</v>
      </c>
      <c r="Y28" s="60">
        <f t="shared" si="4"/>
        <v>0</v>
      </c>
      <c r="Z28" s="60">
        <f t="shared" si="4"/>
        <v>0</v>
      </c>
      <c r="AA28" s="60">
        <f t="shared" si="4"/>
        <v>0</v>
      </c>
      <c r="AB28" s="60">
        <f t="shared" si="4"/>
        <v>0</v>
      </c>
      <c r="AC28" s="60">
        <f t="shared" si="4"/>
        <v>0</v>
      </c>
      <c r="AD28" s="60">
        <f t="shared" si="4"/>
        <v>0</v>
      </c>
      <c r="AE28" s="60">
        <f t="shared" si="4"/>
        <v>0</v>
      </c>
      <c r="AF28" s="60">
        <f t="shared" si="4"/>
        <v>0</v>
      </c>
      <c r="AG28" s="60">
        <f t="shared" si="4"/>
        <v>0</v>
      </c>
      <c r="AH28" s="60">
        <f t="shared" si="4"/>
        <v>0</v>
      </c>
      <c r="AI28" s="60">
        <f t="shared" si="4"/>
        <v>0</v>
      </c>
      <c r="AJ28" s="60">
        <f t="shared" si="4"/>
        <v>0</v>
      </c>
    </row>
    <row r="29" spans="1:36" s="73" customFormat="1" ht="12.75" customHeight="1">
      <c r="A29" s="134" t="s">
        <v>150</v>
      </c>
      <c r="B29" s="13" t="s">
        <v>411</v>
      </c>
      <c r="C29" s="60">
        <f t="shared" si="3"/>
        <v>8509.59</v>
      </c>
      <c r="D29" s="61"/>
      <c r="E29" s="61"/>
      <c r="F29" s="61"/>
      <c r="G29" s="60">
        <f>'Repayment of Principal'!E9</f>
        <v>968.07</v>
      </c>
      <c r="H29" s="60">
        <f>'Repayment of Principal'!F9</f>
        <v>1023.83</v>
      </c>
      <c r="I29" s="60">
        <f>'Repayment of Principal'!G9</f>
        <v>1082.8</v>
      </c>
      <c r="J29" s="60">
        <f>'Repayment of Principal'!H9</f>
        <v>1145.17</v>
      </c>
      <c r="K29" s="60">
        <f>'Repayment of Principal'!I9</f>
        <v>1211.13</v>
      </c>
      <c r="L29" s="60">
        <f>'Repayment of Principal'!J9</f>
        <v>1280.9</v>
      </c>
      <c r="M29" s="60">
        <f>'Repayment of Principal'!K9</f>
        <v>1354.67</v>
      </c>
      <c r="N29" s="60">
        <f>'Repayment of Principal'!L9</f>
        <v>443.02</v>
      </c>
      <c r="O29" s="60">
        <f>'Repayment of Principal'!M9</f>
        <v>0</v>
      </c>
      <c r="P29" s="60">
        <f>'Repayment of Principal'!N9</f>
        <v>0</v>
      </c>
      <c r="Q29" s="60">
        <f>'Repayment of Principal'!O9</f>
        <v>0</v>
      </c>
      <c r="R29" s="60">
        <f>'Repayment of Principal'!P9</f>
        <v>0</v>
      </c>
      <c r="S29" s="60">
        <f>'Repayment of Principal'!Q9</f>
        <v>0</v>
      </c>
      <c r="T29" s="60">
        <f>'Repayment of Principal'!R9</f>
        <v>0</v>
      </c>
      <c r="U29" s="60">
        <f>'Repayment of Principal'!S9</f>
        <v>0</v>
      </c>
      <c r="V29" s="60">
        <f>'Repayment of Principal'!T9</f>
        <v>0</v>
      </c>
      <c r="W29" s="60">
        <f>'Repayment of Principal'!U9</f>
        <v>0</v>
      </c>
      <c r="X29" s="60">
        <f>'Repayment of Principal'!V9</f>
        <v>0</v>
      </c>
      <c r="Y29" s="60">
        <f>'Repayment of Principal'!W9</f>
        <v>0</v>
      </c>
      <c r="Z29" s="60">
        <f>'Repayment of Principal'!X9</f>
        <v>0</v>
      </c>
      <c r="AA29" s="60">
        <f>'Repayment of Principal'!Y9</f>
        <v>0</v>
      </c>
      <c r="AB29" s="60">
        <f>'Repayment of Principal'!Z9</f>
        <v>0</v>
      </c>
      <c r="AC29" s="60">
        <f>'Repayment of Principal'!AA9</f>
        <v>0</v>
      </c>
      <c r="AD29" s="60">
        <f>'Repayment of Principal'!AB9</f>
        <v>0</v>
      </c>
      <c r="AE29" s="60">
        <f>'Repayment of Principal'!AC9</f>
        <v>0</v>
      </c>
      <c r="AF29" s="60">
        <f>'Repayment of Principal'!AD9</f>
        <v>0</v>
      </c>
      <c r="AG29" s="60">
        <f>'Repayment of Principal'!AE9</f>
        <v>0</v>
      </c>
      <c r="AH29" s="60">
        <f>'Repayment of Principal'!AF9</f>
        <v>0</v>
      </c>
      <c r="AI29" s="60">
        <f>'Repayment of Principal'!AG9</f>
        <v>0</v>
      </c>
      <c r="AJ29" s="60">
        <f>'Repayment of Principal'!AH9</f>
        <v>0</v>
      </c>
    </row>
    <row r="30" spans="1:36" s="73" customFormat="1" ht="12.75" customHeight="1">
      <c r="A30" s="134" t="s">
        <v>151</v>
      </c>
      <c r="B30" s="13" t="s">
        <v>412</v>
      </c>
      <c r="C30" s="60">
        <f t="shared" si="3"/>
        <v>1998.81</v>
      </c>
      <c r="D30" s="61"/>
      <c r="E30" s="61"/>
      <c r="F30" s="61"/>
      <c r="G30" s="60">
        <f>'Repayment of Principal'!E10</f>
        <v>469.19</v>
      </c>
      <c r="H30" s="60">
        <f>'Repayment of Principal'!F10</f>
        <v>413.43</v>
      </c>
      <c r="I30" s="60">
        <f>'Repayment of Principal'!G10</f>
        <v>354.46</v>
      </c>
      <c r="J30" s="60">
        <f>'Repayment of Principal'!H10</f>
        <v>292.09</v>
      </c>
      <c r="K30" s="60">
        <f>'Repayment of Principal'!I10</f>
        <v>226.13</v>
      </c>
      <c r="L30" s="60">
        <f>'Repayment of Principal'!J10</f>
        <v>156.36</v>
      </c>
      <c r="M30" s="60">
        <f>'Repayment of Principal'!K10</f>
        <v>82.59</v>
      </c>
      <c r="N30" s="60">
        <f>'Repayment of Principal'!L10</f>
        <v>4.56</v>
      </c>
      <c r="O30" s="60">
        <f>'Repayment of Principal'!M10</f>
        <v>0</v>
      </c>
      <c r="P30" s="60">
        <f>'Repayment of Principal'!N10</f>
        <v>0</v>
      </c>
      <c r="Q30" s="60">
        <f>'Repayment of Principal'!O10</f>
        <v>0</v>
      </c>
      <c r="R30" s="60">
        <f>'Repayment of Principal'!P10</f>
        <v>0</v>
      </c>
      <c r="S30" s="60">
        <f>'Repayment of Principal'!Q10</f>
        <v>0</v>
      </c>
      <c r="T30" s="60">
        <f>'Repayment of Principal'!R10</f>
        <v>0</v>
      </c>
      <c r="U30" s="60">
        <f>'Repayment of Principal'!S10</f>
        <v>0</v>
      </c>
      <c r="V30" s="60">
        <f>'Repayment of Principal'!T10</f>
        <v>0</v>
      </c>
      <c r="W30" s="60">
        <f>'Repayment of Principal'!U10</f>
        <v>0</v>
      </c>
      <c r="X30" s="60">
        <f>'Repayment of Principal'!V10</f>
        <v>0</v>
      </c>
      <c r="Y30" s="60">
        <f>'Repayment of Principal'!W10</f>
        <v>0</v>
      </c>
      <c r="Z30" s="60">
        <f>'Repayment of Principal'!X10</f>
        <v>0</v>
      </c>
      <c r="AA30" s="60">
        <f>'Repayment of Principal'!Y10</f>
        <v>0</v>
      </c>
      <c r="AB30" s="60">
        <f>'Repayment of Principal'!Z10</f>
        <v>0</v>
      </c>
      <c r="AC30" s="60">
        <f>'Repayment of Principal'!AA10</f>
        <v>0</v>
      </c>
      <c r="AD30" s="60">
        <f>'Repayment of Principal'!AB10</f>
        <v>0</v>
      </c>
      <c r="AE30" s="60">
        <f>'Repayment of Principal'!AC10</f>
        <v>0</v>
      </c>
      <c r="AF30" s="60">
        <f>'Repayment of Principal'!AD10</f>
        <v>0</v>
      </c>
      <c r="AG30" s="60">
        <f>'Repayment of Principal'!AE10</f>
        <v>0</v>
      </c>
      <c r="AH30" s="60">
        <f>'Repayment of Principal'!AF10</f>
        <v>0</v>
      </c>
      <c r="AI30" s="60">
        <f>'Repayment of Principal'!AG10</f>
        <v>0</v>
      </c>
      <c r="AJ30" s="60">
        <f>'Repayment of Principal'!AH10</f>
        <v>0</v>
      </c>
    </row>
    <row r="31" spans="1:36" s="73" customFormat="1" ht="12.75" customHeight="1">
      <c r="A31" s="134" t="s">
        <v>256</v>
      </c>
      <c r="B31" s="13" t="s">
        <v>413</v>
      </c>
      <c r="C31" s="60">
        <f t="shared" si="3"/>
        <v>0</v>
      </c>
      <c r="D31" s="61"/>
      <c r="E31" s="61"/>
      <c r="F31" s="61"/>
      <c r="G31" s="60">
        <f>'Repayment of Principal'!E15</f>
        <v>0</v>
      </c>
      <c r="H31" s="60">
        <f>'Repayment of Principal'!F15</f>
        <v>0</v>
      </c>
      <c r="I31" s="60">
        <f>'Repayment of Principal'!G15</f>
        <v>0</v>
      </c>
      <c r="J31" s="60">
        <f>'Repayment of Principal'!H15</f>
        <v>0</v>
      </c>
      <c r="K31" s="60">
        <f>'Repayment of Principal'!I15</f>
        <v>0</v>
      </c>
      <c r="L31" s="60">
        <f>'Repayment of Principal'!J15</f>
        <v>0</v>
      </c>
      <c r="M31" s="60">
        <f>'Repayment of Principal'!K15</f>
        <v>0</v>
      </c>
      <c r="N31" s="60">
        <f>'Repayment of Principal'!L15</f>
        <v>0</v>
      </c>
      <c r="O31" s="60">
        <f>'Repayment of Principal'!M15</f>
        <v>0</v>
      </c>
      <c r="P31" s="60">
        <f>'Repayment of Principal'!N15</f>
        <v>0</v>
      </c>
      <c r="Q31" s="60">
        <f>'Repayment of Principal'!O15</f>
        <v>0</v>
      </c>
      <c r="R31" s="60">
        <f>'Repayment of Principal'!P15</f>
        <v>0</v>
      </c>
      <c r="S31" s="60">
        <f>'Repayment of Principal'!Q15</f>
        <v>0</v>
      </c>
      <c r="T31" s="60">
        <f>'Repayment of Principal'!R15</f>
        <v>0</v>
      </c>
      <c r="U31" s="60">
        <f>'Repayment of Principal'!S15</f>
        <v>0</v>
      </c>
      <c r="V31" s="60">
        <f>'Repayment of Principal'!T15</f>
        <v>0</v>
      </c>
      <c r="W31" s="60">
        <f>'Repayment of Principal'!U15</f>
        <v>0</v>
      </c>
      <c r="X31" s="60">
        <f>'Repayment of Principal'!V15</f>
        <v>0</v>
      </c>
      <c r="Y31" s="60">
        <f>'Repayment of Principal'!W15</f>
        <v>0</v>
      </c>
      <c r="Z31" s="60">
        <f>'Repayment of Principal'!X15</f>
        <v>0</v>
      </c>
      <c r="AA31" s="60">
        <f>'Repayment of Principal'!Y15</f>
        <v>0</v>
      </c>
      <c r="AB31" s="60">
        <f>'Repayment of Principal'!Z15</f>
        <v>0</v>
      </c>
      <c r="AC31" s="60">
        <f>'Repayment of Principal'!AA15</f>
        <v>0</v>
      </c>
      <c r="AD31" s="60">
        <f>'Repayment of Principal'!AB15</f>
        <v>0</v>
      </c>
      <c r="AE31" s="60">
        <f>'Repayment of Principal'!AC15</f>
        <v>0</v>
      </c>
      <c r="AF31" s="60">
        <f>'Repayment of Principal'!AD15</f>
        <v>0</v>
      </c>
      <c r="AG31" s="60">
        <f>'Repayment of Principal'!AE15</f>
        <v>0</v>
      </c>
      <c r="AH31" s="60">
        <f>'Repayment of Principal'!AF15</f>
        <v>0</v>
      </c>
      <c r="AI31" s="60">
        <f>'Repayment of Principal'!AG15</f>
        <v>0</v>
      </c>
      <c r="AJ31" s="60">
        <f>'Repayment of Principal'!AH15</f>
        <v>0</v>
      </c>
    </row>
    <row r="32" spans="1:36" s="73" customFormat="1" ht="7.5" customHeight="1">
      <c r="A32" s="134"/>
      <c r="B32" s="13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1:36" s="73" customFormat="1" ht="12.75" customHeight="1">
      <c r="A33" s="243" t="s">
        <v>414</v>
      </c>
      <c r="B33" s="13" t="s">
        <v>415</v>
      </c>
      <c r="C33" s="62">
        <f>SUM(D33:AJ33)</f>
        <v>28270.4</v>
      </c>
      <c r="D33" s="61">
        <f>D6-D19</f>
        <v>0</v>
      </c>
      <c r="E33" s="61">
        <f>E6-E19</f>
        <v>0</v>
      </c>
      <c r="F33" s="61">
        <f>F6-F19</f>
        <v>-6</v>
      </c>
      <c r="G33" s="61">
        <f aca="true" t="shared" si="5" ref="G33:AJ33">G6-G19</f>
        <v>244.03</v>
      </c>
      <c r="H33" s="61">
        <f t="shared" si="5"/>
        <v>244.03</v>
      </c>
      <c r="I33" s="61">
        <f t="shared" si="5"/>
        <v>207.43</v>
      </c>
      <c r="J33" s="61">
        <f t="shared" si="5"/>
        <v>207.43</v>
      </c>
      <c r="K33" s="61">
        <f t="shared" si="5"/>
        <v>163.49</v>
      </c>
      <c r="L33" s="61">
        <f t="shared" si="5"/>
        <v>163.49</v>
      </c>
      <c r="M33" s="61">
        <f t="shared" si="5"/>
        <v>163.49</v>
      </c>
      <c r="N33" s="61">
        <f t="shared" si="5"/>
        <v>1047.4</v>
      </c>
      <c r="O33" s="61">
        <f t="shared" si="5"/>
        <v>1494.98</v>
      </c>
      <c r="P33" s="61">
        <f t="shared" si="5"/>
        <v>1494.98</v>
      </c>
      <c r="Q33" s="61">
        <f t="shared" si="5"/>
        <v>1503.53</v>
      </c>
      <c r="R33" s="61">
        <f t="shared" si="5"/>
        <v>1503.53</v>
      </c>
      <c r="S33" s="61">
        <f t="shared" si="5"/>
        <v>1503.53</v>
      </c>
      <c r="T33" s="61">
        <f t="shared" si="5"/>
        <v>1503.53</v>
      </c>
      <c r="U33" s="61">
        <f t="shared" si="5"/>
        <v>1503.53</v>
      </c>
      <c r="V33" s="61">
        <f t="shared" si="5"/>
        <v>1503.53</v>
      </c>
      <c r="W33" s="61">
        <f t="shared" si="5"/>
        <v>1503.53</v>
      </c>
      <c r="X33" s="61">
        <f t="shared" si="5"/>
        <v>1503.53</v>
      </c>
      <c r="Y33" s="61">
        <f t="shared" si="5"/>
        <v>1503.53</v>
      </c>
      <c r="Z33" s="61">
        <f t="shared" si="5"/>
        <v>1503.53</v>
      </c>
      <c r="AA33" s="61">
        <f t="shared" si="5"/>
        <v>1183.25</v>
      </c>
      <c r="AB33" s="61">
        <f t="shared" si="5"/>
        <v>735.67</v>
      </c>
      <c r="AC33" s="61">
        <f t="shared" si="5"/>
        <v>735.67</v>
      </c>
      <c r="AD33" s="61">
        <f t="shared" si="5"/>
        <v>735.67</v>
      </c>
      <c r="AE33" s="61">
        <f t="shared" si="5"/>
        <v>735.67</v>
      </c>
      <c r="AF33" s="61">
        <f t="shared" si="5"/>
        <v>735.67</v>
      </c>
      <c r="AG33" s="61">
        <f t="shared" si="5"/>
        <v>735.67</v>
      </c>
      <c r="AH33" s="61">
        <f t="shared" si="5"/>
        <v>735.67</v>
      </c>
      <c r="AI33" s="61">
        <f t="shared" si="5"/>
        <v>735.67</v>
      </c>
      <c r="AJ33" s="61">
        <f t="shared" si="5"/>
        <v>741.74</v>
      </c>
    </row>
    <row r="34" spans="1:36" s="73" customFormat="1" ht="12.75" customHeight="1">
      <c r="A34" s="243"/>
      <c r="B34" s="13" t="s">
        <v>152</v>
      </c>
      <c r="C34" s="60">
        <f>MAX(D34:AJ34)</f>
        <v>28270.4</v>
      </c>
      <c r="D34" s="61">
        <f>D33</f>
        <v>0</v>
      </c>
      <c r="E34" s="61">
        <f>D34+E33</f>
        <v>0</v>
      </c>
      <c r="F34" s="61">
        <f>E34+F33</f>
        <v>-6</v>
      </c>
      <c r="G34" s="61">
        <f>IF(G5&lt;&gt;0,IF(G5&lt;&gt;'Investment Plan'!$C5,G33,F34+G33+$F34),0)</f>
        <v>244.03</v>
      </c>
      <c r="H34" s="61">
        <f>IF(H5&lt;&gt;0,IF(H5&lt;&gt;'Investment Plan'!$C5,G34+H33,G34+H33+$F34),0)</f>
        <v>488.06</v>
      </c>
      <c r="I34" s="61">
        <f>IF(I5&lt;&gt;0,IF(I5&lt;&gt;'Investment Plan'!$C5,H34+I33,H34+I33+$F34),0)</f>
        <v>695.49</v>
      </c>
      <c r="J34" s="61">
        <f>IF(J5&lt;&gt;0,IF(J5&lt;&gt;'Investment Plan'!$C5,I34+J33,I34+J33+$F34),0)</f>
        <v>902.92</v>
      </c>
      <c r="K34" s="61">
        <f>IF(K5&lt;&gt;0,IF(K5&lt;&gt;'Investment Plan'!$C5,J34+K33,J34+K33+$F34),0)</f>
        <v>1066.41</v>
      </c>
      <c r="L34" s="61">
        <f>IF(L5&lt;&gt;0,IF(L5&lt;&gt;'Investment Plan'!$C5,K34+L33,K34+L33+$F34),0)</f>
        <v>1229.9</v>
      </c>
      <c r="M34" s="61">
        <f>IF(M5&lt;&gt;0,IF(M5&lt;&gt;'Investment Plan'!$C5,L34+M33,L34+M33+$F34),0)</f>
        <v>1393.39</v>
      </c>
      <c r="N34" s="61">
        <f>IF(N5&lt;&gt;0,IF(N5&lt;&gt;'Investment Plan'!$C5,M34+N33,M34+N33+$F34),0)</f>
        <v>2440.79</v>
      </c>
      <c r="O34" s="61">
        <f>IF(O5&lt;&gt;0,IF(O5&lt;&gt;'Investment Plan'!$C5,N34+O33,N34+O33+$F34),0)</f>
        <v>3935.77</v>
      </c>
      <c r="P34" s="61">
        <f>IF(P5&lt;&gt;0,IF(P5&lt;&gt;'Investment Plan'!$C5,O34+P33,O34+P33+$F34),0)</f>
        <v>5430.75</v>
      </c>
      <c r="Q34" s="61">
        <f>IF(Q5&lt;&gt;0,IF(Q5&lt;&gt;'Investment Plan'!$C5,P34+Q33,P34+Q33+$F34),0)</f>
        <v>6934.28</v>
      </c>
      <c r="R34" s="61">
        <f>IF(R5&lt;&gt;0,IF(R5&lt;&gt;'Investment Plan'!$C5,Q34+R33,Q34+R33+$F34),0)</f>
        <v>8437.81</v>
      </c>
      <c r="S34" s="61">
        <f>IF(S5&lt;&gt;0,IF(S5&lt;&gt;'Investment Plan'!$C5,R34+S33,R34+S33+$F34),0)</f>
        <v>9941.34</v>
      </c>
      <c r="T34" s="61">
        <f>IF(T5&lt;&gt;0,IF(T5&lt;&gt;'Investment Plan'!$C5,S34+T33,S34+T33+$F34),0)</f>
        <v>11444.87</v>
      </c>
      <c r="U34" s="61">
        <f>IF(U5&lt;&gt;0,IF(U5&lt;&gt;'Investment Plan'!$C5,T34+U33,T34+U33+$F34),0)</f>
        <v>12948.4</v>
      </c>
      <c r="V34" s="61">
        <f>IF(V5&lt;&gt;0,IF(V5&lt;&gt;'Investment Plan'!$C5,U34+V33,U34+V33+$F34),0)</f>
        <v>14451.93</v>
      </c>
      <c r="W34" s="61">
        <f>IF(W5&lt;&gt;0,IF(W5&lt;&gt;'Investment Plan'!$C5,V34+W33,V34+W33+$F34),0)</f>
        <v>15955.46</v>
      </c>
      <c r="X34" s="61">
        <f>IF(X5&lt;&gt;0,IF(X5&lt;&gt;'Investment Plan'!$C5,W34+X33,W34+X33+$F34),0)</f>
        <v>17458.99</v>
      </c>
      <c r="Y34" s="61">
        <f>IF(Y5&lt;&gt;0,IF(Y5&lt;&gt;'Investment Plan'!$C5,X34+Y33,X34+Y33+$F34),0)</f>
        <v>18962.52</v>
      </c>
      <c r="Z34" s="61">
        <f>IF(Z5&lt;&gt;0,IF(Z5&lt;&gt;'Investment Plan'!$C5,Y34+Z33,Y34+Z33+$F34),0)</f>
        <v>20466.05</v>
      </c>
      <c r="AA34" s="61">
        <f>IF(AA5&lt;&gt;0,IF(AA5&lt;&gt;'Investment Plan'!$C5,Z34+AA33,Z34+AA33+$F34),0)</f>
        <v>21649.3</v>
      </c>
      <c r="AB34" s="61">
        <f>IF(AB5&lt;&gt;0,IF(AB5&lt;&gt;'Investment Plan'!$C5,AA34+AB33,AA34+AB33+$F34),0)</f>
        <v>22384.97</v>
      </c>
      <c r="AC34" s="61">
        <f>IF(AC5&lt;&gt;0,IF(AC5&lt;&gt;'Investment Plan'!$C5,AB34+AC33,AB34+AC33+$F34),0)</f>
        <v>23120.64</v>
      </c>
      <c r="AD34" s="61">
        <f>IF(AD5&lt;&gt;0,IF(AD5&lt;&gt;'Investment Plan'!$C5,AC34+AD33,AC34+AD33+$F34),0)</f>
        <v>23856.31</v>
      </c>
      <c r="AE34" s="61">
        <f>IF(AE5&lt;&gt;0,IF(AE5&lt;&gt;'Investment Plan'!$C5,AD34+AE33,AD34+AE33+$F34),0)</f>
        <v>24591.98</v>
      </c>
      <c r="AF34" s="61">
        <f>IF(AF5&lt;&gt;0,IF(AF5&lt;&gt;'Investment Plan'!$C5,AE34+AF33,AE34+AF33+$F34),0)</f>
        <v>25327.65</v>
      </c>
      <c r="AG34" s="61">
        <f>IF(AG5&lt;&gt;0,IF(AG5&lt;&gt;'Investment Plan'!$C5,AF34+AG33,AF34+AG33+$F34),0)</f>
        <v>26063.32</v>
      </c>
      <c r="AH34" s="61">
        <f>IF(AH5&lt;&gt;0,IF(AH5&lt;&gt;'Investment Plan'!$C5,AG34+AH33,AG34+AH33+$F34),0)</f>
        <v>26798.99</v>
      </c>
      <c r="AI34" s="61">
        <f>IF(AI5&lt;&gt;0,IF(AI5&lt;&gt;'Investment Plan'!$C5,AH34+AI33,AH34+AI33+$F34),0)</f>
        <v>27534.66</v>
      </c>
      <c r="AJ34" s="61">
        <f>IF(AJ5&lt;&gt;0,IF(AJ5&lt;&gt;'Investment Plan'!$C5,AI34+AJ33,AI34+AJ33+$F34),0)</f>
        <v>28270.4</v>
      </c>
    </row>
    <row r="35" spans="1:36" s="73" customFormat="1" ht="12.75" customHeight="1">
      <c r="A35" s="243"/>
      <c r="B35" s="37" t="s">
        <v>153</v>
      </c>
      <c r="C35" s="61">
        <f>C8+C16-'Repayment of Principal'!D21</f>
        <v>9671.81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s="73" customFormat="1" ht="12.75" customHeight="1">
      <c r="A36" s="243"/>
      <c r="B36" s="37" t="s">
        <v>154</v>
      </c>
      <c r="C36" s="60">
        <f>'Cost and Income'!D32-'Repayment of Principal'!D22</f>
        <v>12780.05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s="73" customFormat="1" ht="12.75" customHeight="1">
      <c r="A37" s="243"/>
      <c r="B37" s="37" t="s">
        <v>155</v>
      </c>
      <c r="C37" s="60">
        <f>C14-'Repayment of Principal'!D24</f>
        <v>5818.54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7" s="130" customFormat="1" ht="12.75" customHeight="1">
      <c r="A38" s="130" t="s">
        <v>306</v>
      </c>
      <c r="B38" s="242" t="s">
        <v>416</v>
      </c>
      <c r="C38" s="242"/>
      <c r="D38" s="242"/>
      <c r="E38" s="242"/>
      <c r="F38" s="242"/>
      <c r="G38" s="242"/>
    </row>
    <row r="40" ht="12.75" customHeight="1">
      <c r="C40" s="73"/>
    </row>
  </sheetData>
  <sheetProtection/>
  <mergeCells count="10">
    <mergeCell ref="Z4:AJ4"/>
    <mergeCell ref="D4:F4"/>
    <mergeCell ref="B38:G38"/>
    <mergeCell ref="A33:A37"/>
    <mergeCell ref="G4:M4"/>
    <mergeCell ref="N4:Y4"/>
    <mergeCell ref="A2:B2"/>
    <mergeCell ref="A4:A5"/>
    <mergeCell ref="B4:B5"/>
    <mergeCell ref="C4:C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Footer xml:space="preserve">&amp;C&amp;P+14 </oddFooter>
  </headerFooter>
  <colBreaks count="2" manualBreakCount="2">
    <brk id="13" max="65535" man="1"/>
    <brk id="25" max="65535" man="1"/>
  </colBreaks>
  <ignoredErrors>
    <ignoredError sqref="A27:A29 A20:A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2:AJ33"/>
  <sheetViews>
    <sheetView showGridLines="0" showZeros="0" zoomScale="90" zoomScaleNormal="90" zoomScalePageLayoutView="0" workbookViewId="0" topLeftCell="A7">
      <selection activeCell="C4" sqref="C4:C5"/>
    </sheetView>
  </sheetViews>
  <sheetFormatPr defaultColWidth="8.75390625" defaultRowHeight="12.75" customHeight="1"/>
  <cols>
    <col min="1" max="1" width="5.75390625" style="17" customWidth="1"/>
    <col min="2" max="2" width="39.50390625" style="17" customWidth="1"/>
    <col min="3" max="3" width="9.75390625" style="51" bestFit="1" customWidth="1"/>
    <col min="4" max="6" width="8.875" style="51" bestFit="1" customWidth="1"/>
    <col min="7" max="8" width="9.625" style="51" bestFit="1" customWidth="1"/>
    <col min="9" max="10" width="9.50390625" style="51" bestFit="1" customWidth="1"/>
    <col min="11" max="13" width="9.00390625" style="51" bestFit="1" customWidth="1"/>
    <col min="14" max="26" width="8.875" style="51" bestFit="1" customWidth="1"/>
    <col min="27" max="16384" width="8.75390625" style="51" customWidth="1"/>
  </cols>
  <sheetData>
    <row r="2" spans="1:33" ht="19.5" customHeight="1">
      <c r="A2" s="181" t="s">
        <v>156</v>
      </c>
      <c r="B2" s="181"/>
      <c r="C2" s="50" t="str">
        <f>Instruction!A16&amp;"-Statement of Balance Sheet"</f>
        <v>Jinshizi Hydropower Station Finance Analysis-Statement of Balance Sheet</v>
      </c>
      <c r="D2" s="50"/>
      <c r="E2" s="50"/>
      <c r="F2" s="50"/>
      <c r="G2" s="50"/>
      <c r="H2" s="50"/>
      <c r="I2" s="50"/>
      <c r="J2" s="50"/>
      <c r="N2" s="50" t="str">
        <f>C2</f>
        <v>Jinshizi Hydropower Station Finance Analysis-Statement of Balance Sheet</v>
      </c>
      <c r="O2" s="50"/>
      <c r="P2" s="50"/>
      <c r="Q2" s="50"/>
      <c r="R2" s="50"/>
      <c r="S2" s="50"/>
      <c r="T2" s="50"/>
      <c r="U2" s="50"/>
      <c r="Y2" s="50" t="str">
        <f>N2</f>
        <v>Jinshizi Hydropower Station Finance Analysis-Statement of Balance Sheet</v>
      </c>
      <c r="Z2" s="50"/>
      <c r="AA2" s="50"/>
      <c r="AB2" s="50"/>
      <c r="AC2" s="50"/>
      <c r="AD2" s="50"/>
      <c r="AE2" s="50"/>
      <c r="AF2" s="50"/>
      <c r="AG2" s="50"/>
    </row>
    <row r="4" spans="1:36" ht="12.75" customHeight="1">
      <c r="A4" s="189" t="s">
        <v>41</v>
      </c>
      <c r="B4" s="189" t="s">
        <v>42</v>
      </c>
      <c r="C4" s="186" t="s">
        <v>157</v>
      </c>
      <c r="D4" s="172" t="s">
        <v>44</v>
      </c>
      <c r="E4" s="172"/>
      <c r="F4" s="172"/>
      <c r="G4" s="174" t="s">
        <v>45</v>
      </c>
      <c r="H4" s="175"/>
      <c r="I4" s="175"/>
      <c r="J4" s="175"/>
      <c r="K4" s="175"/>
      <c r="L4" s="175"/>
      <c r="M4" s="176"/>
      <c r="N4" s="174" t="str">
        <f>G4</f>
        <v>Operation Period (year)</v>
      </c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4" t="str">
        <f>N4</f>
        <v>Operation Period (year)</v>
      </c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</row>
    <row r="5" spans="1:36" ht="12.75" customHeight="1">
      <c r="A5" s="190"/>
      <c r="B5" s="190"/>
      <c r="C5" s="188"/>
      <c r="D5" s="18">
        <f>'Cash Flow'!D5</f>
        <v>0</v>
      </c>
      <c r="E5" s="18">
        <f>'Cash Flow'!E5</f>
        <v>1</v>
      </c>
      <c r="F5" s="18">
        <f>'Cash Flow'!F5</f>
        <v>2</v>
      </c>
      <c r="G5" s="18">
        <f>'Cash Flow'!G5</f>
        <v>1</v>
      </c>
      <c r="H5" s="18">
        <f>'Cash Flow'!H5</f>
        <v>2</v>
      </c>
      <c r="I5" s="18">
        <f>'Cash Flow'!I5</f>
        <v>3</v>
      </c>
      <c r="J5" s="18">
        <f>'Cash Flow'!J5</f>
        <v>4</v>
      </c>
      <c r="K5" s="18">
        <f>'Cash Flow'!K5</f>
        <v>5</v>
      </c>
      <c r="L5" s="18">
        <f>'Cash Flow'!L5</f>
        <v>6</v>
      </c>
      <c r="M5" s="18">
        <f>'Cash Flow'!M5</f>
        <v>7</v>
      </c>
      <c r="N5" s="18">
        <f>'Cash Flow'!N5</f>
        <v>8</v>
      </c>
      <c r="O5" s="18">
        <f>'Cash Flow'!O5</f>
        <v>9</v>
      </c>
      <c r="P5" s="18">
        <f>'Cash Flow'!P5</f>
        <v>10</v>
      </c>
      <c r="Q5" s="18">
        <f>'Cash Flow'!Q5</f>
        <v>11</v>
      </c>
      <c r="R5" s="18">
        <f>'Cash Flow'!R5</f>
        <v>12</v>
      </c>
      <c r="S5" s="18">
        <f>'Cash Flow'!S5</f>
        <v>13</v>
      </c>
      <c r="T5" s="18">
        <f>'Cash Flow'!T5</f>
        <v>14</v>
      </c>
      <c r="U5" s="18">
        <f>'Cash Flow'!U5</f>
        <v>15</v>
      </c>
      <c r="V5" s="18">
        <f>'Cash Flow'!V5</f>
        <v>16</v>
      </c>
      <c r="W5" s="18">
        <f>'Cash Flow'!W5</f>
        <v>17</v>
      </c>
      <c r="X5" s="18">
        <f>'Cash Flow'!X5</f>
        <v>18</v>
      </c>
      <c r="Y5" s="18">
        <f>'Cash Flow'!Y5</f>
        <v>19</v>
      </c>
      <c r="Z5" s="18">
        <f>'Cash Flow'!Z5</f>
        <v>20</v>
      </c>
      <c r="AA5" s="18">
        <f>'Cash Flow'!AA5</f>
        <v>21</v>
      </c>
      <c r="AB5" s="18">
        <f>'Cash Flow'!AB5</f>
        <v>22</v>
      </c>
      <c r="AC5" s="18">
        <f>'Cash Flow'!AC5</f>
        <v>23</v>
      </c>
      <c r="AD5" s="18">
        <f>'Cash Flow'!AD5</f>
        <v>24</v>
      </c>
      <c r="AE5" s="18">
        <f>'Cash Flow'!AE5</f>
        <v>25</v>
      </c>
      <c r="AF5" s="18">
        <f>'Cash Flow'!AF5</f>
        <v>26</v>
      </c>
      <c r="AG5" s="18">
        <f>'Cash Flow'!AG5</f>
        <v>27</v>
      </c>
      <c r="AH5" s="18">
        <f>'Cash Flow'!AH5</f>
        <v>28</v>
      </c>
      <c r="AI5" s="18">
        <f>'Cash Flow'!AI5</f>
        <v>29</v>
      </c>
      <c r="AJ5" s="18">
        <f>'Cash Flow'!AJ5</f>
        <v>30</v>
      </c>
    </row>
    <row r="6" spans="1:36" ht="12.75" customHeight="1">
      <c r="A6" s="36">
        <v>1</v>
      </c>
      <c r="B6" s="36" t="s">
        <v>158</v>
      </c>
      <c r="C6" s="60">
        <f>SUMIF(D$5:AJ$5,'Investment Plan'!C$5,D6:AJ6)</f>
        <v>30531.65</v>
      </c>
      <c r="D6" s="60">
        <f aca="true" t="shared" si="0" ref="D6:AJ6">SUM(D7,D10:D13)</f>
        <v>0</v>
      </c>
      <c r="E6" s="60">
        <f t="shared" si="0"/>
        <v>8002.82</v>
      </c>
      <c r="F6" s="60">
        <f t="shared" si="0"/>
        <v>14885.67</v>
      </c>
      <c r="G6" s="60">
        <f t="shared" si="0"/>
        <v>14428.78</v>
      </c>
      <c r="H6" s="60">
        <f t="shared" si="0"/>
        <v>13971.89</v>
      </c>
      <c r="I6" s="60">
        <f t="shared" si="0"/>
        <v>13471.94</v>
      </c>
      <c r="J6" s="60">
        <f t="shared" si="0"/>
        <v>12971.99</v>
      </c>
      <c r="K6" s="60">
        <f t="shared" si="0"/>
        <v>12420.36</v>
      </c>
      <c r="L6" s="60">
        <f t="shared" si="0"/>
        <v>11868.73</v>
      </c>
      <c r="M6" s="60">
        <f t="shared" si="0"/>
        <v>11317.1</v>
      </c>
      <c r="N6" s="60">
        <f t="shared" si="0"/>
        <v>11674.07</v>
      </c>
      <c r="O6" s="60">
        <f t="shared" si="0"/>
        <v>12478.62</v>
      </c>
      <c r="P6" s="60">
        <f t="shared" si="0"/>
        <v>13283.17</v>
      </c>
      <c r="Q6" s="60">
        <f t="shared" si="0"/>
        <v>14097.77</v>
      </c>
      <c r="R6" s="60">
        <f t="shared" si="0"/>
        <v>14912.37</v>
      </c>
      <c r="S6" s="60">
        <f t="shared" si="0"/>
        <v>15726.97</v>
      </c>
      <c r="T6" s="60">
        <f t="shared" si="0"/>
        <v>16541.57</v>
      </c>
      <c r="U6" s="60">
        <f t="shared" si="0"/>
        <v>17356.17</v>
      </c>
      <c r="V6" s="60">
        <f t="shared" si="0"/>
        <v>18170.77</v>
      </c>
      <c r="W6" s="60">
        <f t="shared" si="0"/>
        <v>18985.37</v>
      </c>
      <c r="X6" s="60">
        <f t="shared" si="0"/>
        <v>19799.97</v>
      </c>
      <c r="Y6" s="60">
        <f t="shared" si="0"/>
        <v>20614.57</v>
      </c>
      <c r="Z6" s="60">
        <f t="shared" si="0"/>
        <v>21429.17</v>
      </c>
      <c r="AA6" s="60">
        <f t="shared" si="0"/>
        <v>22742.24</v>
      </c>
      <c r="AB6" s="60">
        <f t="shared" si="0"/>
        <v>23607.73</v>
      </c>
      <c r="AC6" s="60">
        <f t="shared" si="0"/>
        <v>24473.22</v>
      </c>
      <c r="AD6" s="60">
        <f t="shared" si="0"/>
        <v>25338.71</v>
      </c>
      <c r="AE6" s="60">
        <f t="shared" si="0"/>
        <v>26204.2</v>
      </c>
      <c r="AF6" s="60">
        <f t="shared" si="0"/>
        <v>27069.69</v>
      </c>
      <c r="AG6" s="60">
        <f t="shared" si="0"/>
        <v>27935.18</v>
      </c>
      <c r="AH6" s="60">
        <f t="shared" si="0"/>
        <v>28800.67</v>
      </c>
      <c r="AI6" s="60">
        <f t="shared" si="0"/>
        <v>29666.16</v>
      </c>
      <c r="AJ6" s="60">
        <f t="shared" si="0"/>
        <v>30531.65</v>
      </c>
    </row>
    <row r="7" spans="1:36" ht="12.75" customHeight="1">
      <c r="A7" s="36">
        <v>1.1</v>
      </c>
      <c r="B7" s="36" t="s">
        <v>159</v>
      </c>
      <c r="C7" s="60">
        <f>SUMIF(D$5:AJ$5,'Investment Plan'!C$5,D7:AJ7)</f>
        <v>28276.4</v>
      </c>
      <c r="D7" s="60">
        <f aca="true" t="shared" si="1" ref="D7:AJ7">SUM(D8:D9)</f>
        <v>0</v>
      </c>
      <c r="E7" s="60">
        <f t="shared" si="1"/>
        <v>0</v>
      </c>
      <c r="F7" s="60">
        <f t="shared" si="1"/>
        <v>6</v>
      </c>
      <c r="G7" s="60">
        <f t="shared" si="1"/>
        <v>250.03</v>
      </c>
      <c r="H7" s="60">
        <f t="shared" si="1"/>
        <v>494.06</v>
      </c>
      <c r="I7" s="60">
        <f t="shared" si="1"/>
        <v>701.49</v>
      </c>
      <c r="J7" s="60">
        <f t="shared" si="1"/>
        <v>908.92</v>
      </c>
      <c r="K7" s="60">
        <f t="shared" si="1"/>
        <v>1072.41</v>
      </c>
      <c r="L7" s="60">
        <f t="shared" si="1"/>
        <v>1235.9</v>
      </c>
      <c r="M7" s="60">
        <f t="shared" si="1"/>
        <v>1399.39</v>
      </c>
      <c r="N7" s="60">
        <f t="shared" si="1"/>
        <v>2446.79</v>
      </c>
      <c r="O7" s="60">
        <f t="shared" si="1"/>
        <v>3941.77</v>
      </c>
      <c r="P7" s="60">
        <f t="shared" si="1"/>
        <v>5436.75</v>
      </c>
      <c r="Q7" s="60">
        <f t="shared" si="1"/>
        <v>6940.28</v>
      </c>
      <c r="R7" s="60">
        <f t="shared" si="1"/>
        <v>8443.81</v>
      </c>
      <c r="S7" s="60">
        <f t="shared" si="1"/>
        <v>9947.34</v>
      </c>
      <c r="T7" s="60">
        <f t="shared" si="1"/>
        <v>11450.87</v>
      </c>
      <c r="U7" s="60">
        <f t="shared" si="1"/>
        <v>12954.4</v>
      </c>
      <c r="V7" s="60">
        <f t="shared" si="1"/>
        <v>14457.93</v>
      </c>
      <c r="W7" s="60">
        <f t="shared" si="1"/>
        <v>15961.46</v>
      </c>
      <c r="X7" s="60">
        <f t="shared" si="1"/>
        <v>17464.99</v>
      </c>
      <c r="Y7" s="60">
        <f t="shared" si="1"/>
        <v>18968.52</v>
      </c>
      <c r="Z7" s="60">
        <f t="shared" si="1"/>
        <v>20472.05</v>
      </c>
      <c r="AA7" s="60">
        <f t="shared" si="1"/>
        <v>21655.3</v>
      </c>
      <c r="AB7" s="60">
        <f t="shared" si="1"/>
        <v>22390.97</v>
      </c>
      <c r="AC7" s="60">
        <f t="shared" si="1"/>
        <v>23126.64</v>
      </c>
      <c r="AD7" s="60">
        <f t="shared" si="1"/>
        <v>23862.31</v>
      </c>
      <c r="AE7" s="60">
        <f t="shared" si="1"/>
        <v>24597.98</v>
      </c>
      <c r="AF7" s="60">
        <f t="shared" si="1"/>
        <v>25333.65</v>
      </c>
      <c r="AG7" s="60">
        <f t="shared" si="1"/>
        <v>26069.32</v>
      </c>
      <c r="AH7" s="60">
        <f t="shared" si="1"/>
        <v>26804.99</v>
      </c>
      <c r="AI7" s="60">
        <f t="shared" si="1"/>
        <v>27540.66</v>
      </c>
      <c r="AJ7" s="60">
        <f t="shared" si="1"/>
        <v>28276.4</v>
      </c>
    </row>
    <row r="8" spans="1:36" ht="12.75" customHeight="1">
      <c r="A8" s="36" t="s">
        <v>257</v>
      </c>
      <c r="B8" s="36" t="s">
        <v>160</v>
      </c>
      <c r="C8" s="60"/>
      <c r="D8" s="60">
        <f>'Investment Plan'!D21</f>
        <v>0</v>
      </c>
      <c r="E8" s="60">
        <f>D8+'Investment Plan'!E21</f>
        <v>0</v>
      </c>
      <c r="F8" s="60">
        <f>E8+'Investment Plan'!F21</f>
        <v>6</v>
      </c>
      <c r="G8" s="61">
        <f>IF(G5&lt;&gt;0,F8,0)</f>
        <v>6</v>
      </c>
      <c r="H8" s="61">
        <f>IF(H5&lt;&gt;0,G8,0)</f>
        <v>6</v>
      </c>
      <c r="I8" s="61">
        <f aca="true" t="shared" si="2" ref="I8:AJ8">IF(I5&lt;&gt;0,H8,0)</f>
        <v>6</v>
      </c>
      <c r="J8" s="61">
        <f t="shared" si="2"/>
        <v>6</v>
      </c>
      <c r="K8" s="61">
        <f t="shared" si="2"/>
        <v>6</v>
      </c>
      <c r="L8" s="61">
        <f t="shared" si="2"/>
        <v>6</v>
      </c>
      <c r="M8" s="61">
        <f t="shared" si="2"/>
        <v>6</v>
      </c>
      <c r="N8" s="61">
        <f t="shared" si="2"/>
        <v>6</v>
      </c>
      <c r="O8" s="61">
        <f t="shared" si="2"/>
        <v>6</v>
      </c>
      <c r="P8" s="61">
        <f t="shared" si="2"/>
        <v>6</v>
      </c>
      <c r="Q8" s="61">
        <f t="shared" si="2"/>
        <v>6</v>
      </c>
      <c r="R8" s="61">
        <f t="shared" si="2"/>
        <v>6</v>
      </c>
      <c r="S8" s="61">
        <f t="shared" si="2"/>
        <v>6</v>
      </c>
      <c r="T8" s="61">
        <f t="shared" si="2"/>
        <v>6</v>
      </c>
      <c r="U8" s="61">
        <f t="shared" si="2"/>
        <v>6</v>
      </c>
      <c r="V8" s="61">
        <f t="shared" si="2"/>
        <v>6</v>
      </c>
      <c r="W8" s="61">
        <f t="shared" si="2"/>
        <v>6</v>
      </c>
      <c r="X8" s="61">
        <f t="shared" si="2"/>
        <v>6</v>
      </c>
      <c r="Y8" s="61">
        <f t="shared" si="2"/>
        <v>6</v>
      </c>
      <c r="Z8" s="61">
        <f t="shared" si="2"/>
        <v>6</v>
      </c>
      <c r="AA8" s="61">
        <f t="shared" si="2"/>
        <v>6</v>
      </c>
      <c r="AB8" s="61">
        <f t="shared" si="2"/>
        <v>6</v>
      </c>
      <c r="AC8" s="61">
        <f t="shared" si="2"/>
        <v>6</v>
      </c>
      <c r="AD8" s="61">
        <f t="shared" si="2"/>
        <v>6</v>
      </c>
      <c r="AE8" s="61">
        <f t="shared" si="2"/>
        <v>6</v>
      </c>
      <c r="AF8" s="61">
        <f t="shared" si="2"/>
        <v>6</v>
      </c>
      <c r="AG8" s="61">
        <f t="shared" si="2"/>
        <v>6</v>
      </c>
      <c r="AH8" s="61">
        <f t="shared" si="2"/>
        <v>6</v>
      </c>
      <c r="AI8" s="61">
        <f t="shared" si="2"/>
        <v>6</v>
      </c>
      <c r="AJ8" s="61">
        <f t="shared" si="2"/>
        <v>6</v>
      </c>
    </row>
    <row r="9" spans="1:36" ht="12.75" customHeight="1">
      <c r="A9" s="36" t="s">
        <v>258</v>
      </c>
      <c r="B9" s="10" t="s">
        <v>417</v>
      </c>
      <c r="C9" s="60">
        <f>SUMIF(D$5:AJ$5,'Investment Plan'!C$5,D9:AJ9)</f>
        <v>28270.4</v>
      </c>
      <c r="D9" s="61"/>
      <c r="E9" s="61"/>
      <c r="F9" s="60"/>
      <c r="G9" s="60">
        <f>IF(G5&lt;&gt;0,'Application of Fund'!G34,0)</f>
        <v>244.03</v>
      </c>
      <c r="H9" s="60">
        <f>IF(H5&lt;&gt;0,'Application of Fund'!H34,0)</f>
        <v>488.06</v>
      </c>
      <c r="I9" s="60">
        <f>IF(I5&lt;&gt;0,'Application of Fund'!I34,0)</f>
        <v>695.49</v>
      </c>
      <c r="J9" s="60">
        <f>IF(J5&lt;&gt;0,'Application of Fund'!J34,0)</f>
        <v>902.92</v>
      </c>
      <c r="K9" s="60">
        <f>IF(K5&lt;&gt;0,'Application of Fund'!K34,0)</f>
        <v>1066.41</v>
      </c>
      <c r="L9" s="60">
        <f>IF(L5&lt;&gt;0,'Application of Fund'!L34,0)</f>
        <v>1229.9</v>
      </c>
      <c r="M9" s="60">
        <f>IF(M5&lt;&gt;0,'Application of Fund'!M34,0)</f>
        <v>1393.39</v>
      </c>
      <c r="N9" s="60">
        <f>IF(N5&lt;&gt;0,'Application of Fund'!N34,0)</f>
        <v>2440.79</v>
      </c>
      <c r="O9" s="60">
        <f>IF(O5&lt;&gt;0,'Application of Fund'!O34,0)</f>
        <v>3935.77</v>
      </c>
      <c r="P9" s="60">
        <f>IF(P5&lt;&gt;0,'Application of Fund'!P34,0)</f>
        <v>5430.75</v>
      </c>
      <c r="Q9" s="60">
        <f>IF(Q5&lt;&gt;0,'Application of Fund'!Q34,0)</f>
        <v>6934.28</v>
      </c>
      <c r="R9" s="60">
        <f>IF(R5&lt;&gt;0,'Application of Fund'!R34,0)</f>
        <v>8437.81</v>
      </c>
      <c r="S9" s="60">
        <f>IF(S5&lt;&gt;0,'Application of Fund'!S34,0)</f>
        <v>9941.34</v>
      </c>
      <c r="T9" s="60">
        <f>IF(T5&lt;&gt;0,'Application of Fund'!T34,0)</f>
        <v>11444.87</v>
      </c>
      <c r="U9" s="60">
        <f>IF(U5&lt;&gt;0,'Application of Fund'!U34,0)</f>
        <v>12948.4</v>
      </c>
      <c r="V9" s="60">
        <f>IF(V5&lt;&gt;0,'Application of Fund'!V34,0)</f>
        <v>14451.93</v>
      </c>
      <c r="W9" s="60">
        <f>IF(W5&lt;&gt;0,'Application of Fund'!W34,0)</f>
        <v>15955.46</v>
      </c>
      <c r="X9" s="60">
        <f>IF(X5&lt;&gt;0,'Application of Fund'!X34,0)</f>
        <v>17458.99</v>
      </c>
      <c r="Y9" s="60">
        <f>IF(Y5&lt;&gt;0,'Application of Fund'!Y34,0)</f>
        <v>18962.52</v>
      </c>
      <c r="Z9" s="60">
        <f>IF(Z5&lt;&gt;0,'Application of Fund'!Z34,0)</f>
        <v>20466.05</v>
      </c>
      <c r="AA9" s="60">
        <f>IF(AA5&lt;&gt;0,'Application of Fund'!AA34,0)</f>
        <v>21649.3</v>
      </c>
      <c r="AB9" s="60">
        <f>IF(AB5&lt;&gt;0,'Application of Fund'!AB34,0)</f>
        <v>22384.97</v>
      </c>
      <c r="AC9" s="60">
        <f>IF(AC5&lt;&gt;0,'Application of Fund'!AC34,0)</f>
        <v>23120.64</v>
      </c>
      <c r="AD9" s="60">
        <f>IF(AD5&lt;&gt;0,'Application of Fund'!AD34,0)</f>
        <v>23856.31</v>
      </c>
      <c r="AE9" s="60">
        <f>IF(AE5&lt;&gt;0,'Application of Fund'!AE34,0)</f>
        <v>24591.98</v>
      </c>
      <c r="AF9" s="60">
        <f>IF(AF5&lt;&gt;0,'Application of Fund'!AF34,0)</f>
        <v>25327.65</v>
      </c>
      <c r="AG9" s="60">
        <f>IF(AG5&lt;&gt;0,'Application of Fund'!AG34,0)</f>
        <v>26063.32</v>
      </c>
      <c r="AH9" s="60">
        <f>IF(AH5&lt;&gt;0,'Application of Fund'!AH34,0)</f>
        <v>26798.99</v>
      </c>
      <c r="AI9" s="60">
        <f>IF(AI5&lt;&gt;0,'Application of Fund'!AI34,0)</f>
        <v>27534.66</v>
      </c>
      <c r="AJ9" s="60">
        <f>IF(AJ5&lt;&gt;0,'Application of Fund'!AJ34,0)</f>
        <v>28270.4</v>
      </c>
    </row>
    <row r="10" spans="1:36" ht="12.75" customHeight="1">
      <c r="A10" s="36">
        <v>1.2</v>
      </c>
      <c r="B10" s="10" t="s">
        <v>161</v>
      </c>
      <c r="C10" s="60"/>
      <c r="D10" s="60">
        <f>'Investment Plan'!D19+'Investment Plan'!D20</f>
        <v>0</v>
      </c>
      <c r="E10" s="60">
        <f>D10+'Investment Plan'!E19+'Investment Plan'!E20</f>
        <v>8002.82</v>
      </c>
      <c r="F10" s="60">
        <f>E10+'Investment Plan'!F19+'Investment Plan'!F20</f>
        <v>14879.67</v>
      </c>
      <c r="G10" s="60"/>
      <c r="H10" s="60"/>
      <c r="I10" s="60"/>
      <c r="J10" s="60"/>
      <c r="K10" s="60"/>
      <c r="L10" s="6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2.75" customHeight="1">
      <c r="A11" s="36">
        <v>1.3</v>
      </c>
      <c r="B11" s="36" t="s">
        <v>162</v>
      </c>
      <c r="C11" s="61"/>
      <c r="D11" s="61"/>
      <c r="E11" s="61"/>
      <c r="F11" s="61"/>
      <c r="G11" s="61">
        <f>IF(G5&lt;&gt;0,(F10-G12-'Plan for Repayment of Loan'!D8-'Plan for Repayment of Loan'!D9-'Plan for Repayment of Loan'!D15-'Plan for Repayment of Loan'!D16),0)</f>
        <v>14135.69</v>
      </c>
      <c r="H11" s="61">
        <f>IF(H5&lt;&gt;0,(G11+G12-H12-'Plan for Repayment of Loan'!E8-'Plan for Repayment of Loan'!E9-'Plan for Repayment of Loan'!E15-'Plan for Repayment of Loan'!E16),0)</f>
        <v>13391.71</v>
      </c>
      <c r="I11" s="61">
        <f>IF(I5&lt;&gt;0,(H11+H12-I12-'Plan for Repayment of Loan'!F8-'Plan for Repayment of Loan'!F9-'Plan for Repayment of Loan'!F15-'Plan for Repayment of Loan'!F16),0)</f>
        <v>12647.73</v>
      </c>
      <c r="J11" s="61">
        <f>IF(J5&lt;&gt;0,(I11+I12-J12-'Plan for Repayment of Loan'!G8-'Plan for Repayment of Loan'!G9-'Plan for Repayment of Loan'!G15-'Plan for Repayment of Loan'!G16),0)</f>
        <v>11903.75</v>
      </c>
      <c r="K11" s="61">
        <f>IF(K5&lt;&gt;0,(J11+J12-K12-'Plan for Repayment of Loan'!H8-'Plan for Repayment of Loan'!H9-'Plan for Repayment of Loan'!H15-'Plan for Repayment of Loan'!H16),0)</f>
        <v>11159.77</v>
      </c>
      <c r="L11" s="61">
        <f>IF(L5&lt;&gt;0,(K11+K12-L12-'Plan for Repayment of Loan'!I8-'Plan for Repayment of Loan'!I9-'Plan for Repayment of Loan'!I15-'Plan for Repayment of Loan'!I16),0)</f>
        <v>10415.79</v>
      </c>
      <c r="M11" s="61">
        <f>IF(M5&lt;&gt;0,(L11+L12-M12-'Plan for Repayment of Loan'!J8-'Plan for Repayment of Loan'!J9-'Plan for Repayment of Loan'!J15-'Plan for Repayment of Loan'!J16),0)</f>
        <v>9671.81</v>
      </c>
      <c r="N11" s="61">
        <f>IF(N5&lt;&gt;0,(M11+M12-N12-'Plan for Repayment of Loan'!K8-'Plan for Repayment of Loan'!K9-'Plan for Repayment of Loan'!K15-'Plan for Repayment of Loan'!K16),0)</f>
        <v>8927.83</v>
      </c>
      <c r="O11" s="61">
        <f>IF(O5&lt;&gt;0,(N11+N12-O12-'Plan for Repayment of Loan'!L8-'Plan for Repayment of Loan'!L9-'Plan for Repayment of Loan'!L15-'Plan for Repayment of Loan'!L16),0)</f>
        <v>8183.85</v>
      </c>
      <c r="P11" s="61">
        <f>IF(P5&lt;&gt;0,(O11+O12-P12-'Plan for Repayment of Loan'!M8-'Plan for Repayment of Loan'!M9-'Plan for Repayment of Loan'!M15-'Plan for Repayment of Loan'!M16),0)</f>
        <v>7439.87</v>
      </c>
      <c r="Q11" s="61">
        <f>IF(Q5&lt;&gt;0,(P11+P12-Q12-'Plan for Repayment of Loan'!N8-'Plan for Repayment of Loan'!N9-'Plan for Repayment of Loan'!N15-'Plan for Repayment of Loan'!N16),0)</f>
        <v>6695.89</v>
      </c>
      <c r="R11" s="61">
        <f>IF(R5&lt;&gt;0,(Q11+Q12-R12-'Plan for Repayment of Loan'!O8-'Plan for Repayment of Loan'!O9-'Plan for Repayment of Loan'!O15-'Plan for Repayment of Loan'!O16),0)</f>
        <v>5951.91</v>
      </c>
      <c r="S11" s="61">
        <f>IF(S5&lt;&gt;0,(R11+R12-S12-'Plan for Repayment of Loan'!P8-'Plan for Repayment of Loan'!P9-'Plan for Repayment of Loan'!P15-'Plan for Repayment of Loan'!P16),0)</f>
        <v>5207.93</v>
      </c>
      <c r="T11" s="61">
        <f>IF(T5&lt;&gt;0,(S11+S12-T12-'Plan for Repayment of Loan'!Q8-'Plan for Repayment of Loan'!Q9-'Plan for Repayment of Loan'!Q15-'Plan for Repayment of Loan'!Q16),0)</f>
        <v>4463.95</v>
      </c>
      <c r="U11" s="61">
        <f>IF(U5&lt;&gt;0,(T11+T12-U12-'Plan for Repayment of Loan'!R8-'Plan for Repayment of Loan'!R9-'Plan for Repayment of Loan'!R15-'Plan for Repayment of Loan'!R16),0)</f>
        <v>3719.97</v>
      </c>
      <c r="V11" s="61">
        <f>IF(V5&lt;&gt;0,(U11+U12-V12-'Plan for Repayment of Loan'!S8-'Plan for Repayment of Loan'!S9-'Plan for Repayment of Loan'!S15-'Plan for Repayment of Loan'!S16),0)</f>
        <v>2975.99</v>
      </c>
      <c r="W11" s="61">
        <f>IF(W5&lt;&gt;0,(V11+V12-W12-'Plan for Repayment of Loan'!T8-'Plan for Repayment of Loan'!T9-'Plan for Repayment of Loan'!T15-'Plan for Repayment of Loan'!T16),0)</f>
        <v>2232.01</v>
      </c>
      <c r="X11" s="61">
        <f>IF(X5&lt;&gt;0,(W11+W12-X12-'Plan for Repayment of Loan'!U8-'Plan for Repayment of Loan'!U9-'Plan for Repayment of Loan'!U15-'Plan for Repayment of Loan'!U16),0)</f>
        <v>1488.03</v>
      </c>
      <c r="Y11" s="61">
        <f>IF(Y5&lt;&gt;0,(X11+X12-Y12-'Plan for Repayment of Loan'!V8-'Plan for Repayment of Loan'!V9-'Plan for Repayment of Loan'!V15-'Plan for Repayment of Loan'!V16),0)</f>
        <v>744.05</v>
      </c>
      <c r="Z11" s="61">
        <f>IF(Z5&lt;&gt;0,(Y11+Y12-Z12-'Plan for Repayment of Loan'!W8-'Plan for Repayment of Loan'!W9-'Plan for Repayment of Loan'!W15-'Plan for Repayment of Loan'!W16),0)</f>
        <v>0.07</v>
      </c>
      <c r="AA11" s="61">
        <f>IF(AA5&lt;&gt;0,(Z11+Z12-AA12-'Plan for Repayment of Loan'!X8-'Plan for Repayment of Loan'!X9-'Plan for Repayment of Loan'!X15-'Plan for Repayment of Loan'!X16),0)</f>
        <v>0.07</v>
      </c>
      <c r="AB11" s="61">
        <f>IF(AB5&lt;&gt;0,(AA11+AA12-AB12-'Plan for Repayment of Loan'!Y8-'Plan for Repayment of Loan'!Y9-'Plan for Repayment of Loan'!Y15-'Plan for Repayment of Loan'!Y16),0)</f>
        <v>0.07</v>
      </c>
      <c r="AC11" s="61">
        <f>IF(AC5&lt;&gt;0,(AB11+AB12-AC12-'Plan for Repayment of Loan'!Z8-'Plan for Repayment of Loan'!Z9-'Plan for Repayment of Loan'!Z15-'Plan for Repayment of Loan'!Z16),0)</f>
        <v>0.07</v>
      </c>
      <c r="AD11" s="61">
        <f>IF(AD5&lt;&gt;0,(AC11+AC12-AD12-'Plan for Repayment of Loan'!AA8-'Plan for Repayment of Loan'!AA9-'Plan for Repayment of Loan'!AA15-'Plan for Repayment of Loan'!AA16),0)</f>
        <v>0.07</v>
      </c>
      <c r="AE11" s="61">
        <f>IF(AE5&lt;&gt;0,(AD11+AD12-AE12-'Plan for Repayment of Loan'!AB8-'Plan for Repayment of Loan'!AB9-'Plan for Repayment of Loan'!AB15-'Plan for Repayment of Loan'!AB16),0)</f>
        <v>0.07</v>
      </c>
      <c r="AF11" s="61">
        <f>IF(AF5&lt;&gt;0,(AE11+AE12-AF12-'Plan for Repayment of Loan'!AC8-'Plan for Repayment of Loan'!AC9-'Plan for Repayment of Loan'!AC15-'Plan for Repayment of Loan'!AC16),0)</f>
        <v>0.07</v>
      </c>
      <c r="AG11" s="61">
        <f>IF(AG5&lt;&gt;0,(AF11+AF12-AG12-'Plan for Repayment of Loan'!AD8-'Plan for Repayment of Loan'!AD9-'Plan for Repayment of Loan'!AD15-'Plan for Repayment of Loan'!AD16),0)</f>
        <v>0.07</v>
      </c>
      <c r="AH11" s="61">
        <f>IF(AH5&lt;&gt;0,(AG11+AG12-AH12-'Plan for Repayment of Loan'!AE8-'Plan for Repayment of Loan'!AE9-'Plan for Repayment of Loan'!AE15-'Plan for Repayment of Loan'!AE16),0)</f>
        <v>0.07</v>
      </c>
      <c r="AI11" s="61">
        <f>IF(AI5&lt;&gt;0,(AH11+AH12-AI12-'Plan for Repayment of Loan'!AF8-'Plan for Repayment of Loan'!AF9-'Plan for Repayment of Loan'!AF15-'Plan for Repayment of Loan'!AF16),0)</f>
        <v>0.07</v>
      </c>
      <c r="AJ11" s="61">
        <f>IF(AJ5&lt;&gt;0,(AI11+AI12-AJ12-'Plan for Repayment of Loan'!AG8-'Plan for Repayment of Loan'!AG9-'Plan for Repayment of Loan'!AG15-'Plan for Repayment of Loan'!AG16),0)</f>
        <v>0</v>
      </c>
    </row>
    <row r="12" spans="1:36" ht="12.75" customHeight="1">
      <c r="A12" s="36">
        <v>1.4</v>
      </c>
      <c r="B12" s="10" t="s">
        <v>163</v>
      </c>
      <c r="C12" s="60">
        <f>SUMIF(D$5:AJ$5,'Investment Plan'!C$5,D12:AJ12)</f>
        <v>0</v>
      </c>
      <c r="D12" s="60"/>
      <c r="E12" s="60"/>
      <c r="F12" s="60"/>
      <c r="G12" s="60">
        <f>IF(G5&lt;&gt;0,F10-'Investment Plan'!C32,0)</f>
        <v>0</v>
      </c>
      <c r="H12" s="60">
        <f>IF(H5&lt;&gt;0,G12,0)</f>
        <v>0</v>
      </c>
      <c r="I12" s="60">
        <f aca="true" t="shared" si="3" ref="I12:AJ12">IF(I5&lt;&gt;0,H12,0)</f>
        <v>0</v>
      </c>
      <c r="J12" s="60">
        <f t="shared" si="3"/>
        <v>0</v>
      </c>
      <c r="K12" s="60">
        <f t="shared" si="3"/>
        <v>0</v>
      </c>
      <c r="L12" s="60">
        <f t="shared" si="3"/>
        <v>0</v>
      </c>
      <c r="M12" s="60">
        <f t="shared" si="3"/>
        <v>0</v>
      </c>
      <c r="N12" s="60">
        <f t="shared" si="3"/>
        <v>0</v>
      </c>
      <c r="O12" s="60">
        <f t="shared" si="3"/>
        <v>0</v>
      </c>
      <c r="P12" s="60">
        <f t="shared" si="3"/>
        <v>0</v>
      </c>
      <c r="Q12" s="60">
        <f t="shared" si="3"/>
        <v>0</v>
      </c>
      <c r="R12" s="60">
        <f t="shared" si="3"/>
        <v>0</v>
      </c>
      <c r="S12" s="60">
        <f t="shared" si="3"/>
        <v>0</v>
      </c>
      <c r="T12" s="60">
        <f t="shared" si="3"/>
        <v>0</v>
      </c>
      <c r="U12" s="60">
        <f t="shared" si="3"/>
        <v>0</v>
      </c>
      <c r="V12" s="60">
        <f t="shared" si="3"/>
        <v>0</v>
      </c>
      <c r="W12" s="60">
        <f t="shared" si="3"/>
        <v>0</v>
      </c>
      <c r="X12" s="60">
        <f t="shared" si="3"/>
        <v>0</v>
      </c>
      <c r="Y12" s="60">
        <f t="shared" si="3"/>
        <v>0</v>
      </c>
      <c r="Z12" s="60">
        <f t="shared" si="3"/>
        <v>0</v>
      </c>
      <c r="AA12" s="60">
        <f t="shared" si="3"/>
        <v>0</v>
      </c>
      <c r="AB12" s="60">
        <f t="shared" si="3"/>
        <v>0</v>
      </c>
      <c r="AC12" s="60">
        <f t="shared" si="3"/>
        <v>0</v>
      </c>
      <c r="AD12" s="60">
        <f t="shared" si="3"/>
        <v>0</v>
      </c>
      <c r="AE12" s="60">
        <f t="shared" si="3"/>
        <v>0</v>
      </c>
      <c r="AF12" s="60">
        <f t="shared" si="3"/>
        <v>0</v>
      </c>
      <c r="AG12" s="60">
        <f t="shared" si="3"/>
        <v>0</v>
      </c>
      <c r="AH12" s="60">
        <f t="shared" si="3"/>
        <v>0</v>
      </c>
      <c r="AI12" s="60">
        <f t="shared" si="3"/>
        <v>0</v>
      </c>
      <c r="AJ12" s="60">
        <f t="shared" si="3"/>
        <v>0</v>
      </c>
    </row>
    <row r="13" spans="1:36" ht="12.75" customHeight="1">
      <c r="A13" s="36">
        <v>1.5</v>
      </c>
      <c r="B13" s="10" t="s">
        <v>164</v>
      </c>
      <c r="C13" s="60">
        <f>SUMIF(D$5:AJ$5,'Investment Plan'!C$5,D13:AJ13)</f>
        <v>2255.25</v>
      </c>
      <c r="D13" s="60"/>
      <c r="E13" s="60"/>
      <c r="F13" s="60"/>
      <c r="G13" s="60">
        <f>IF(G5&lt;&gt;0,'Application of Fund'!G27,0)</f>
        <v>43.06</v>
      </c>
      <c r="H13" s="60">
        <f>IF(H5&lt;&gt;0,G13+'Application of Fund'!H27,0)</f>
        <v>86.12</v>
      </c>
      <c r="I13" s="60">
        <f>IF(I5&lt;&gt;0,H13+'Application of Fund'!I27,0)</f>
        <v>122.72</v>
      </c>
      <c r="J13" s="60">
        <f>IF(J5&lt;&gt;0,I13+'Application of Fund'!J27,0)</f>
        <v>159.32</v>
      </c>
      <c r="K13" s="60">
        <f>IF(K5&lt;&gt;0,J13+'Application of Fund'!K27,0)</f>
        <v>188.18</v>
      </c>
      <c r="L13" s="60">
        <f>IF(L5&lt;&gt;0,K13+'Application of Fund'!L27,0)</f>
        <v>217.04</v>
      </c>
      <c r="M13" s="60">
        <f>IF(M5&lt;&gt;0,L13+'Application of Fund'!M27,0)</f>
        <v>245.9</v>
      </c>
      <c r="N13" s="60">
        <f>IF(N5&lt;&gt;0,M13+'Application of Fund'!N27,0)</f>
        <v>299.45</v>
      </c>
      <c r="O13" s="60">
        <f>IF(O5&lt;&gt;0,N13+'Application of Fund'!O27,0)</f>
        <v>353</v>
      </c>
      <c r="P13" s="60">
        <f>IF(P5&lt;&gt;0,O13+'Application of Fund'!P27,0)</f>
        <v>406.55</v>
      </c>
      <c r="Q13" s="60">
        <f>IF(Q5&lt;&gt;0,P13+'Application of Fund'!Q27,0)</f>
        <v>461.6</v>
      </c>
      <c r="R13" s="60">
        <f>IF(R5&lt;&gt;0,Q13+'Application of Fund'!R27,0)</f>
        <v>516.65</v>
      </c>
      <c r="S13" s="60">
        <f>IF(S5&lt;&gt;0,R13+'Application of Fund'!S27,0)</f>
        <v>571.7</v>
      </c>
      <c r="T13" s="60">
        <f>IF(T5&lt;&gt;0,S13+'Application of Fund'!T27,0)</f>
        <v>626.75</v>
      </c>
      <c r="U13" s="60">
        <f>IF(U5&lt;&gt;0,T13+'Application of Fund'!U27,0)</f>
        <v>681.8</v>
      </c>
      <c r="V13" s="60">
        <f>IF(V5&lt;&gt;0,U13+'Application of Fund'!V27,0)</f>
        <v>736.85</v>
      </c>
      <c r="W13" s="60">
        <f>IF(W5&lt;&gt;0,V13+'Application of Fund'!W27,0)</f>
        <v>791.9</v>
      </c>
      <c r="X13" s="60">
        <f>IF(X5&lt;&gt;0,W13+'Application of Fund'!X27,0)</f>
        <v>846.95</v>
      </c>
      <c r="Y13" s="60">
        <f>IF(Y5&lt;&gt;0,X13+'Application of Fund'!Y27,0)</f>
        <v>902</v>
      </c>
      <c r="Z13" s="60">
        <f>IF(Z5&lt;&gt;0,Y13+'Application of Fund'!Z27,0)</f>
        <v>957.05</v>
      </c>
      <c r="AA13" s="60">
        <f>IF(AA5&lt;&gt;0,Z13+'Application of Fund'!AA27,0)</f>
        <v>1086.87</v>
      </c>
      <c r="AB13" s="60">
        <f>IF(AB5&lt;&gt;0,AA13+'Application of Fund'!AB27,0)</f>
        <v>1216.69</v>
      </c>
      <c r="AC13" s="60">
        <f>IF(AC5&lt;&gt;0,AB13+'Application of Fund'!AC27,0)</f>
        <v>1346.51</v>
      </c>
      <c r="AD13" s="60">
        <f>IF(AD5&lt;&gt;0,AC13+'Application of Fund'!AD27,0)</f>
        <v>1476.33</v>
      </c>
      <c r="AE13" s="60">
        <f>IF(AE5&lt;&gt;0,AD13+'Application of Fund'!AE27,0)</f>
        <v>1606.15</v>
      </c>
      <c r="AF13" s="60">
        <f>IF(AF5&lt;&gt;0,AE13+'Application of Fund'!AF27,0)</f>
        <v>1735.97</v>
      </c>
      <c r="AG13" s="60">
        <f>IF(AG5&lt;&gt;0,AF13+'Application of Fund'!AG27,0)</f>
        <v>1865.79</v>
      </c>
      <c r="AH13" s="60">
        <f>IF(AH5&lt;&gt;0,AG13+'Application of Fund'!AH27,0)</f>
        <v>1995.61</v>
      </c>
      <c r="AI13" s="60">
        <f>IF(AI5&lt;&gt;0,AH13+'Application of Fund'!AI27,0)</f>
        <v>2125.43</v>
      </c>
      <c r="AJ13" s="60">
        <f>IF(AJ5&lt;&gt;0,AI13+'Application of Fund'!AJ27,0)</f>
        <v>2255.25</v>
      </c>
    </row>
    <row r="14" spans="1:36" ht="12.75" customHeight="1">
      <c r="A14" s="36"/>
      <c r="B14" s="36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2.75" customHeight="1">
      <c r="A15" s="36">
        <v>2</v>
      </c>
      <c r="B15" s="10" t="s">
        <v>165</v>
      </c>
      <c r="C15" s="60"/>
      <c r="D15" s="61">
        <f aca="true" t="shared" si="4" ref="D15:AJ15">IF(D16&gt;0,SUM(D16:D17),D17)</f>
        <v>0</v>
      </c>
      <c r="E15" s="61">
        <f t="shared" si="4"/>
        <v>3958.82</v>
      </c>
      <c r="F15" s="61">
        <f t="shared" si="4"/>
        <v>8145.67</v>
      </c>
      <c r="G15" s="61">
        <f t="shared" si="4"/>
        <v>7177.6</v>
      </c>
      <c r="H15" s="61">
        <f t="shared" si="4"/>
        <v>6153.77</v>
      </c>
      <c r="I15" s="61">
        <f t="shared" si="4"/>
        <v>5070.97</v>
      </c>
      <c r="J15" s="61">
        <f t="shared" si="4"/>
        <v>3925.8</v>
      </c>
      <c r="K15" s="61">
        <f t="shared" si="4"/>
        <v>2714.67</v>
      </c>
      <c r="L15" s="61">
        <f t="shared" si="4"/>
        <v>1433.77</v>
      </c>
      <c r="M15" s="61">
        <f t="shared" si="4"/>
        <v>79.1</v>
      </c>
      <c r="N15" s="61">
        <f t="shared" si="4"/>
        <v>0</v>
      </c>
      <c r="O15" s="61">
        <f t="shared" si="4"/>
        <v>0</v>
      </c>
      <c r="P15" s="61">
        <f t="shared" si="4"/>
        <v>0</v>
      </c>
      <c r="Q15" s="61">
        <f t="shared" si="4"/>
        <v>0</v>
      </c>
      <c r="R15" s="61">
        <f t="shared" si="4"/>
        <v>0</v>
      </c>
      <c r="S15" s="61">
        <f t="shared" si="4"/>
        <v>0</v>
      </c>
      <c r="T15" s="61">
        <f t="shared" si="4"/>
        <v>0</v>
      </c>
      <c r="U15" s="61">
        <f t="shared" si="4"/>
        <v>0</v>
      </c>
      <c r="V15" s="61">
        <f t="shared" si="4"/>
        <v>0</v>
      </c>
      <c r="W15" s="61">
        <f t="shared" si="4"/>
        <v>0</v>
      </c>
      <c r="X15" s="61">
        <f t="shared" si="4"/>
        <v>0</v>
      </c>
      <c r="Y15" s="61">
        <f t="shared" si="4"/>
        <v>0</v>
      </c>
      <c r="Z15" s="61">
        <f t="shared" si="4"/>
        <v>0</v>
      </c>
      <c r="AA15" s="61">
        <f t="shared" si="4"/>
        <v>0</v>
      </c>
      <c r="AB15" s="61">
        <f t="shared" si="4"/>
        <v>0</v>
      </c>
      <c r="AC15" s="61">
        <f t="shared" si="4"/>
        <v>0</v>
      </c>
      <c r="AD15" s="61">
        <f t="shared" si="4"/>
        <v>0</v>
      </c>
      <c r="AE15" s="61">
        <f t="shared" si="4"/>
        <v>0</v>
      </c>
      <c r="AF15" s="61">
        <f t="shared" si="4"/>
        <v>0</v>
      </c>
      <c r="AG15" s="61">
        <f t="shared" si="4"/>
        <v>0</v>
      </c>
      <c r="AH15" s="61">
        <f t="shared" si="4"/>
        <v>0</v>
      </c>
      <c r="AI15" s="61">
        <f t="shared" si="4"/>
        <v>0</v>
      </c>
      <c r="AJ15" s="61">
        <f t="shared" si="4"/>
        <v>0</v>
      </c>
    </row>
    <row r="16" spans="1:36" ht="12.75" customHeight="1">
      <c r="A16" s="36">
        <v>2.1</v>
      </c>
      <c r="B16" s="10" t="s">
        <v>166</v>
      </c>
      <c r="C16" s="60"/>
      <c r="D16" s="61">
        <f>'Investment Plan'!D28</f>
        <v>0</v>
      </c>
      <c r="E16" s="61">
        <f>D16+'Investment Plan'!E28</f>
        <v>3958.82</v>
      </c>
      <c r="F16" s="61">
        <f>E16+'Investment Plan'!F28</f>
        <v>8145.67</v>
      </c>
      <c r="G16" s="61">
        <f>'Repayment of Principal'!E11</f>
        <v>7177.6</v>
      </c>
      <c r="H16" s="61">
        <f>'Repayment of Principal'!F11</f>
        <v>6153.77</v>
      </c>
      <c r="I16" s="61">
        <f>'Repayment of Principal'!G11</f>
        <v>5070.97</v>
      </c>
      <c r="J16" s="61">
        <f>'Repayment of Principal'!H11</f>
        <v>3925.8</v>
      </c>
      <c r="K16" s="61">
        <f>'Repayment of Principal'!I11</f>
        <v>2714.67</v>
      </c>
      <c r="L16" s="61">
        <f>'Repayment of Principal'!J11</f>
        <v>1433.77</v>
      </c>
      <c r="M16" s="61">
        <f>'Repayment of Principal'!K11</f>
        <v>79.1</v>
      </c>
      <c r="N16" s="61">
        <f>'Repayment of Principal'!L11</f>
        <v>-363.92</v>
      </c>
      <c r="O16" s="61">
        <f>'Repayment of Principal'!M11</f>
        <v>0</v>
      </c>
      <c r="P16" s="61">
        <f>'Repayment of Principal'!N11</f>
        <v>0</v>
      </c>
      <c r="Q16" s="61">
        <f>'Repayment of Principal'!O11</f>
        <v>0</v>
      </c>
      <c r="R16" s="61">
        <f>'Repayment of Principal'!P11</f>
        <v>0</v>
      </c>
      <c r="S16" s="61">
        <f>'Repayment of Principal'!Q11</f>
        <v>0</v>
      </c>
      <c r="T16" s="61">
        <f>'Repayment of Principal'!R11</f>
        <v>0</v>
      </c>
      <c r="U16" s="61">
        <f>'Repayment of Principal'!S11</f>
        <v>0</v>
      </c>
      <c r="V16" s="61">
        <f>'Repayment of Principal'!T11</f>
        <v>0</v>
      </c>
      <c r="W16" s="61">
        <f>'Repayment of Principal'!U11</f>
        <v>0</v>
      </c>
      <c r="X16" s="61">
        <f>'Repayment of Principal'!V11</f>
        <v>0</v>
      </c>
      <c r="Y16" s="61">
        <f>'Repayment of Principal'!W11</f>
        <v>0</v>
      </c>
      <c r="Z16" s="61">
        <f>'Repayment of Principal'!X11</f>
        <v>0</v>
      </c>
      <c r="AA16" s="61">
        <f>'Repayment of Principal'!Y11</f>
        <v>0</v>
      </c>
      <c r="AB16" s="61">
        <f>'Repayment of Principal'!Z11</f>
        <v>0</v>
      </c>
      <c r="AC16" s="61">
        <f>'Repayment of Principal'!AA11</f>
        <v>0</v>
      </c>
      <c r="AD16" s="61">
        <f>'Repayment of Principal'!AB11</f>
        <v>0</v>
      </c>
      <c r="AE16" s="61">
        <f>'Repayment of Principal'!AC11</f>
        <v>0</v>
      </c>
      <c r="AF16" s="61">
        <f>'Repayment of Principal'!AD11</f>
        <v>0</v>
      </c>
      <c r="AG16" s="61">
        <f>'Repayment of Principal'!AE11</f>
        <v>0</v>
      </c>
      <c r="AH16" s="61">
        <f>'Repayment of Principal'!AF11</f>
        <v>0</v>
      </c>
      <c r="AI16" s="61">
        <f>'Repayment of Principal'!AG11</f>
        <v>0</v>
      </c>
      <c r="AJ16" s="61">
        <f>'Repayment of Principal'!AH11</f>
        <v>0</v>
      </c>
    </row>
    <row r="17" spans="1:36" ht="12.75" customHeight="1">
      <c r="A17" s="36">
        <v>2.2</v>
      </c>
      <c r="B17" s="10" t="s">
        <v>167</v>
      </c>
      <c r="C17" s="60"/>
      <c r="D17" s="61">
        <f>'Investment Plan'!D31</f>
        <v>0</v>
      </c>
      <c r="E17" s="61">
        <f>'Investment Plan'!E31</f>
        <v>0</v>
      </c>
      <c r="F17" s="61">
        <f>'Investment Plan'!F31</f>
        <v>0</v>
      </c>
      <c r="G17" s="61">
        <f>'Repayment of Principal'!E18</f>
        <v>0</v>
      </c>
      <c r="H17" s="61">
        <f>'Repayment of Principal'!F18</f>
        <v>0</v>
      </c>
      <c r="I17" s="61">
        <f>'Repayment of Principal'!G18</f>
        <v>0</v>
      </c>
      <c r="J17" s="61">
        <f>'Repayment of Principal'!H18</f>
        <v>0</v>
      </c>
      <c r="K17" s="61">
        <f>'Repayment of Principal'!I18</f>
        <v>0</v>
      </c>
      <c r="L17" s="61">
        <f>'Repayment of Principal'!J18</f>
        <v>0</v>
      </c>
      <c r="M17" s="61">
        <f>'Repayment of Principal'!K18</f>
        <v>0</v>
      </c>
      <c r="N17" s="61">
        <f>'Repayment of Principal'!L18</f>
        <v>0</v>
      </c>
      <c r="O17" s="61">
        <f>'Repayment of Principal'!M18</f>
        <v>0</v>
      </c>
      <c r="P17" s="61">
        <f>'Repayment of Principal'!N18</f>
        <v>0</v>
      </c>
      <c r="Q17" s="61">
        <f>'Repayment of Principal'!O18</f>
        <v>0</v>
      </c>
      <c r="R17" s="61">
        <f>'Repayment of Principal'!P18</f>
        <v>0</v>
      </c>
      <c r="S17" s="61">
        <f>'Repayment of Principal'!Q18</f>
        <v>0</v>
      </c>
      <c r="T17" s="61">
        <f>'Repayment of Principal'!R18</f>
        <v>0</v>
      </c>
      <c r="U17" s="61">
        <f>'Repayment of Principal'!S18</f>
        <v>0</v>
      </c>
      <c r="V17" s="61">
        <f>'Repayment of Principal'!T18</f>
        <v>0</v>
      </c>
      <c r="W17" s="61">
        <f>'Repayment of Principal'!U18</f>
        <v>0</v>
      </c>
      <c r="X17" s="61">
        <f>'Repayment of Principal'!V18</f>
        <v>0</v>
      </c>
      <c r="Y17" s="61">
        <f>'Repayment of Principal'!W18</f>
        <v>0</v>
      </c>
      <c r="Z17" s="61">
        <f>'Repayment of Principal'!X18</f>
        <v>0</v>
      </c>
      <c r="AA17" s="61">
        <f>'Repayment of Principal'!Y18</f>
        <v>0</v>
      </c>
      <c r="AB17" s="61">
        <f>'Repayment of Principal'!Z18</f>
        <v>0</v>
      </c>
      <c r="AC17" s="61">
        <f>'Repayment of Principal'!AA18</f>
        <v>0</v>
      </c>
      <c r="AD17" s="61">
        <f>'Repayment of Principal'!AB18</f>
        <v>0</v>
      </c>
      <c r="AE17" s="61">
        <f>'Repayment of Principal'!AC18</f>
        <v>0</v>
      </c>
      <c r="AF17" s="61">
        <f>'Repayment of Principal'!AD18</f>
        <v>0</v>
      </c>
      <c r="AG17" s="61">
        <f>'Repayment of Principal'!AE18</f>
        <v>0</v>
      </c>
      <c r="AH17" s="61">
        <f>'Repayment of Principal'!AF18</f>
        <v>0</v>
      </c>
      <c r="AI17" s="61">
        <f>'Repayment of Principal'!AG18</f>
        <v>0</v>
      </c>
      <c r="AJ17" s="61"/>
    </row>
    <row r="18" spans="1:36" ht="12.75" customHeight="1">
      <c r="A18" s="36"/>
      <c r="B18" s="3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2.75" customHeight="1">
      <c r="A19" s="36">
        <v>2.3</v>
      </c>
      <c r="B19" s="10" t="s">
        <v>168</v>
      </c>
      <c r="C19" s="60">
        <f>SUMIF(D$5:AJ$5,'Investment Plan'!C$5,D19:AJ19)</f>
        <v>29787.67</v>
      </c>
      <c r="D19" s="60">
        <f>SUM(D20:D25)</f>
        <v>0</v>
      </c>
      <c r="E19" s="60">
        <f aca="true" t="shared" si="5" ref="E19:AJ19">SUM(E20:E25)</f>
        <v>4044</v>
      </c>
      <c r="F19" s="60">
        <f t="shared" si="5"/>
        <v>6740</v>
      </c>
      <c r="G19" s="60">
        <f t="shared" si="5"/>
        <v>7251.18</v>
      </c>
      <c r="H19" s="60">
        <f t="shared" si="5"/>
        <v>7818.12</v>
      </c>
      <c r="I19" s="60">
        <f t="shared" si="5"/>
        <v>8400.97</v>
      </c>
      <c r="J19" s="60">
        <f t="shared" si="5"/>
        <v>9046.19</v>
      </c>
      <c r="K19" s="60">
        <f t="shared" si="5"/>
        <v>9705.69</v>
      </c>
      <c r="L19" s="60">
        <f t="shared" si="5"/>
        <v>10434.96</v>
      </c>
      <c r="M19" s="60">
        <f t="shared" si="5"/>
        <v>11238</v>
      </c>
      <c r="N19" s="60">
        <f t="shared" si="5"/>
        <v>10930.09</v>
      </c>
      <c r="O19" s="60">
        <f t="shared" si="5"/>
        <v>11734.64</v>
      </c>
      <c r="P19" s="60">
        <f t="shared" si="5"/>
        <v>12539.19</v>
      </c>
      <c r="Q19" s="60">
        <f t="shared" si="5"/>
        <v>13353.79</v>
      </c>
      <c r="R19" s="60">
        <f t="shared" si="5"/>
        <v>14168.39</v>
      </c>
      <c r="S19" s="60">
        <f t="shared" si="5"/>
        <v>14982.99</v>
      </c>
      <c r="T19" s="60">
        <f t="shared" si="5"/>
        <v>15797.59</v>
      </c>
      <c r="U19" s="60">
        <f t="shared" si="5"/>
        <v>16612.19</v>
      </c>
      <c r="V19" s="60">
        <f t="shared" si="5"/>
        <v>17426.79</v>
      </c>
      <c r="W19" s="60">
        <f t="shared" si="5"/>
        <v>18241.39</v>
      </c>
      <c r="X19" s="60">
        <f t="shared" si="5"/>
        <v>19055.99</v>
      </c>
      <c r="Y19" s="60">
        <f t="shared" si="5"/>
        <v>19870.59</v>
      </c>
      <c r="Z19" s="60">
        <f t="shared" si="5"/>
        <v>20685.19</v>
      </c>
      <c r="AA19" s="60">
        <f t="shared" si="5"/>
        <v>21998.26</v>
      </c>
      <c r="AB19" s="60">
        <f t="shared" si="5"/>
        <v>22863.75</v>
      </c>
      <c r="AC19" s="60">
        <f t="shared" si="5"/>
        <v>23729.24</v>
      </c>
      <c r="AD19" s="60">
        <f t="shared" si="5"/>
        <v>24594.73</v>
      </c>
      <c r="AE19" s="60">
        <f t="shared" si="5"/>
        <v>25460.22</v>
      </c>
      <c r="AF19" s="60">
        <f t="shared" si="5"/>
        <v>26325.71</v>
      </c>
      <c r="AG19" s="60">
        <f t="shared" si="5"/>
        <v>27191.2</v>
      </c>
      <c r="AH19" s="60">
        <f t="shared" si="5"/>
        <v>28056.69</v>
      </c>
      <c r="AI19" s="60">
        <f t="shared" si="5"/>
        <v>28922.18</v>
      </c>
      <c r="AJ19" s="60">
        <f t="shared" si="5"/>
        <v>29787.67</v>
      </c>
    </row>
    <row r="20" spans="1:36" ht="12.75" customHeight="1">
      <c r="A20" s="36" t="s">
        <v>259</v>
      </c>
      <c r="B20" s="10" t="s">
        <v>169</v>
      </c>
      <c r="C20" s="60">
        <f>SUMIF(D$5:AJ$5,'Investment Plan'!C$5,D20:AJ20)</f>
        <v>6734</v>
      </c>
      <c r="D20" s="60">
        <f>'Investment Plan'!D26+'Investment Plan'!D27</f>
        <v>0</v>
      </c>
      <c r="E20" s="60">
        <f>D20+'Investment Plan'!E26+'Investment Plan'!E27</f>
        <v>4044</v>
      </c>
      <c r="F20" s="60">
        <f>E20+'Investment Plan'!F26+'Investment Plan'!F27</f>
        <v>6734</v>
      </c>
      <c r="G20" s="60">
        <f aca="true" t="shared" si="6" ref="G20:AJ20">IF(G5&lt;&gt;0,F20,0)</f>
        <v>6734</v>
      </c>
      <c r="H20" s="60">
        <f t="shared" si="6"/>
        <v>6734</v>
      </c>
      <c r="I20" s="60">
        <f t="shared" si="6"/>
        <v>6734</v>
      </c>
      <c r="J20" s="60">
        <f t="shared" si="6"/>
        <v>6734</v>
      </c>
      <c r="K20" s="60">
        <f t="shared" si="6"/>
        <v>6734</v>
      </c>
      <c r="L20" s="60">
        <f t="shared" si="6"/>
        <v>6734</v>
      </c>
      <c r="M20" s="60">
        <f t="shared" si="6"/>
        <v>6734</v>
      </c>
      <c r="N20" s="60">
        <f t="shared" si="6"/>
        <v>6734</v>
      </c>
      <c r="O20" s="60">
        <f t="shared" si="6"/>
        <v>6734</v>
      </c>
      <c r="P20" s="60">
        <f t="shared" si="6"/>
        <v>6734</v>
      </c>
      <c r="Q20" s="60">
        <f t="shared" si="6"/>
        <v>6734</v>
      </c>
      <c r="R20" s="60">
        <f t="shared" si="6"/>
        <v>6734</v>
      </c>
      <c r="S20" s="60">
        <f t="shared" si="6"/>
        <v>6734</v>
      </c>
      <c r="T20" s="60">
        <f t="shared" si="6"/>
        <v>6734</v>
      </c>
      <c r="U20" s="60">
        <f t="shared" si="6"/>
        <v>6734</v>
      </c>
      <c r="V20" s="60">
        <f t="shared" si="6"/>
        <v>6734</v>
      </c>
      <c r="W20" s="60">
        <f t="shared" si="6"/>
        <v>6734</v>
      </c>
      <c r="X20" s="60">
        <f t="shared" si="6"/>
        <v>6734</v>
      </c>
      <c r="Y20" s="60">
        <f t="shared" si="6"/>
        <v>6734</v>
      </c>
      <c r="Z20" s="60">
        <f t="shared" si="6"/>
        <v>6734</v>
      </c>
      <c r="AA20" s="60">
        <f t="shared" si="6"/>
        <v>6734</v>
      </c>
      <c r="AB20" s="60">
        <f t="shared" si="6"/>
        <v>6734</v>
      </c>
      <c r="AC20" s="60">
        <f t="shared" si="6"/>
        <v>6734</v>
      </c>
      <c r="AD20" s="60">
        <f t="shared" si="6"/>
        <v>6734</v>
      </c>
      <c r="AE20" s="60">
        <f t="shared" si="6"/>
        <v>6734</v>
      </c>
      <c r="AF20" s="60">
        <f t="shared" si="6"/>
        <v>6734</v>
      </c>
      <c r="AG20" s="60">
        <f t="shared" si="6"/>
        <v>6734</v>
      </c>
      <c r="AH20" s="60">
        <f t="shared" si="6"/>
        <v>6734</v>
      </c>
      <c r="AI20" s="60">
        <f t="shared" si="6"/>
        <v>6734</v>
      </c>
      <c r="AJ20" s="60">
        <f t="shared" si="6"/>
        <v>6734</v>
      </c>
    </row>
    <row r="21" spans="1:36" ht="12.75" customHeight="1">
      <c r="A21" s="36" t="s">
        <v>260</v>
      </c>
      <c r="B21" s="10" t="s">
        <v>170</v>
      </c>
      <c r="C21" s="60"/>
      <c r="D21" s="60">
        <f>'Investment Plan'!D25</f>
        <v>0</v>
      </c>
      <c r="E21" s="60">
        <f>D21+'Investment Plan'!E25</f>
        <v>0</v>
      </c>
      <c r="F21" s="60">
        <f>E21+'Investment Plan'!F25</f>
        <v>6</v>
      </c>
      <c r="G21" s="60">
        <f>IF(G6&lt;&gt;0,F21+'Repayment of Principal'!E16,0)</f>
        <v>6</v>
      </c>
      <c r="H21" s="60">
        <f>IF(H6&lt;&gt;0,G21+'Repayment of Principal'!F16,0)</f>
        <v>6</v>
      </c>
      <c r="I21" s="60">
        <f>IF(I6&lt;&gt;0,H21+'Repayment of Principal'!G16,0)</f>
        <v>6</v>
      </c>
      <c r="J21" s="60">
        <f>IF(J6&lt;&gt;0,I21+'Repayment of Principal'!H16,0)</f>
        <v>6</v>
      </c>
      <c r="K21" s="60">
        <f>IF(K6&lt;&gt;0,J21+'Repayment of Principal'!I16,0)</f>
        <v>6</v>
      </c>
      <c r="L21" s="60">
        <f>IF(L6&lt;&gt;0,K21+'Repayment of Principal'!J16,0)</f>
        <v>6</v>
      </c>
      <c r="M21" s="60">
        <f>IF(M6&lt;&gt;0,L21+'Repayment of Principal'!K16,0)</f>
        <v>6</v>
      </c>
      <c r="N21" s="60">
        <f>IF(N6&lt;&gt;0,M21+'Repayment of Principal'!L16,0)</f>
        <v>6</v>
      </c>
      <c r="O21" s="60">
        <f>IF(O6&lt;&gt;0,N21+'Repayment of Principal'!M16,0)</f>
        <v>6</v>
      </c>
      <c r="P21" s="60">
        <f>IF(P6&lt;&gt;0,O21+'Repayment of Principal'!N16,0)</f>
        <v>6</v>
      </c>
      <c r="Q21" s="60">
        <f>IF(Q6&lt;&gt;0,P21+'Repayment of Principal'!O16,0)</f>
        <v>6</v>
      </c>
      <c r="R21" s="60">
        <f>IF(R6&lt;&gt;0,Q21+'Repayment of Principal'!P16,0)</f>
        <v>6</v>
      </c>
      <c r="S21" s="60">
        <f>IF(S6&lt;&gt;0,R21+'Repayment of Principal'!Q16,0)</f>
        <v>6</v>
      </c>
      <c r="T21" s="60">
        <f>IF(T6&lt;&gt;0,S21+'Repayment of Principal'!R16,0)</f>
        <v>6</v>
      </c>
      <c r="U21" s="60">
        <f>IF(U6&lt;&gt;0,T21+'Repayment of Principal'!S16,0)</f>
        <v>6</v>
      </c>
      <c r="V21" s="60">
        <f>IF(V6&lt;&gt;0,U21+'Repayment of Principal'!T16,0)</f>
        <v>6</v>
      </c>
      <c r="W21" s="60">
        <f>IF(W6&lt;&gt;0,V21+'Repayment of Principal'!U16,0)</f>
        <v>6</v>
      </c>
      <c r="X21" s="60">
        <f>IF(X6&lt;&gt;0,W21+'Repayment of Principal'!V16,0)</f>
        <v>6</v>
      </c>
      <c r="Y21" s="60">
        <f>IF(Y6&lt;&gt;0,X21+'Repayment of Principal'!W16,0)</f>
        <v>6</v>
      </c>
      <c r="Z21" s="60">
        <f>IF(Z6&lt;&gt;0,Y21+'Repayment of Principal'!X16,0)</f>
        <v>6</v>
      </c>
      <c r="AA21" s="60">
        <f>IF(AA6&lt;&gt;0,Z21+'Repayment of Principal'!Y16,0)</f>
        <v>6</v>
      </c>
      <c r="AB21" s="60">
        <f>IF(AB6&lt;&gt;0,AA21+'Repayment of Principal'!Z16,0)</f>
        <v>6</v>
      </c>
      <c r="AC21" s="60">
        <f>IF(AC6&lt;&gt;0,AB21+'Repayment of Principal'!AA16,0)</f>
        <v>6</v>
      </c>
      <c r="AD21" s="60">
        <f>IF(AD6&lt;&gt;0,AC21+'Repayment of Principal'!AB16,0)</f>
        <v>6</v>
      </c>
      <c r="AE21" s="60">
        <f>IF(AE6&lt;&gt;0,AD21+'Repayment of Principal'!AC16,0)</f>
        <v>6</v>
      </c>
      <c r="AF21" s="60">
        <f>IF(AF6&lt;&gt;0,AE21+'Repayment of Principal'!AD16,0)</f>
        <v>6</v>
      </c>
      <c r="AG21" s="60">
        <f>IF(AG6&lt;&gt;0,AF21+'Repayment of Principal'!AE16,0)</f>
        <v>6</v>
      </c>
      <c r="AH21" s="60">
        <f>IF(AH6&lt;&gt;0,AG21+'Repayment of Principal'!AF16,0)</f>
        <v>6</v>
      </c>
      <c r="AI21" s="60">
        <f>IF(AI6&lt;&gt;0,AH21+'Repayment of Principal'!AG16,0)</f>
        <v>6</v>
      </c>
      <c r="AJ21" s="60">
        <f>IF(AJ6&lt;&gt;0,AI21+'Repayment of Principal'!AH16,0)</f>
        <v>6</v>
      </c>
    </row>
    <row r="22" spans="1:36" ht="12.75" customHeight="1">
      <c r="A22" s="36" t="s">
        <v>261</v>
      </c>
      <c r="B22" s="10" t="s">
        <v>171</v>
      </c>
      <c r="C22" s="61">
        <f>SUMIF(D$5:AJ$5,'Investment Plan'!C$5,D22:AJ22)</f>
        <v>-1386.81</v>
      </c>
      <c r="D22" s="61"/>
      <c r="E22" s="61"/>
      <c r="F22" s="61"/>
      <c r="G22" s="61">
        <f>IF(G5&lt;&gt;0,F22+(-1)*'Plan for Repayment of Loan'!D29,0)</f>
        <v>-223.49</v>
      </c>
      <c r="H22" s="61">
        <f>IF(H5&lt;&gt;0,G22+(-1)*'Plan for Repayment of Loan'!E29,0)</f>
        <v>-391.22</v>
      </c>
      <c r="I22" s="61">
        <f>IF(I5&lt;&gt;0,H22+(-1)*'Plan for Repayment of Loan'!F29,0)</f>
        <v>-499.98</v>
      </c>
      <c r="J22" s="61">
        <f>IF(J5&lt;&gt;0,I22+(-1)*'Plan for Repayment of Loan'!G29,0)</f>
        <v>-546.37</v>
      </c>
      <c r="K22" s="61">
        <f>IF(K5&lt;&gt;0,J22+(-1)*'Plan for Repayment of Loan'!H29,0)</f>
        <v>-526.8</v>
      </c>
      <c r="L22" s="61">
        <f>IF(L5&lt;&gt;0,K22+(-1)*'Plan for Repayment of Loan'!I29,0)</f>
        <v>-437.46</v>
      </c>
      <c r="M22" s="61">
        <f>IF(M5&lt;&gt;0,L22+(-1)*'Plan for Repayment of Loan'!J29,0)</f>
        <v>-274.35</v>
      </c>
      <c r="N22" s="61">
        <f>IF(N5&lt;&gt;0,M22+(-1)*'Plan for Repayment of Loan'!K29,0)</f>
        <v>-1386.81</v>
      </c>
      <c r="O22" s="61">
        <f>IF(O5&lt;&gt;0,N22+(-1)*'Plan for Repayment of Loan'!L29,0)</f>
        <v>-1386.81</v>
      </c>
      <c r="P22" s="61">
        <f>IF(P5&lt;&gt;0,O22+(-1)*'Plan for Repayment of Loan'!M29,0)</f>
        <v>-1386.81</v>
      </c>
      <c r="Q22" s="61">
        <f>IF(Q5&lt;&gt;0,P22+(-1)*'Plan for Repayment of Loan'!N29,0)</f>
        <v>-1386.81</v>
      </c>
      <c r="R22" s="61">
        <f>IF(R5&lt;&gt;0,Q22+(-1)*'Plan for Repayment of Loan'!O29,0)</f>
        <v>-1386.81</v>
      </c>
      <c r="S22" s="61">
        <f>IF(S5&lt;&gt;0,R22+(-1)*'Plan for Repayment of Loan'!P29,0)</f>
        <v>-1386.81</v>
      </c>
      <c r="T22" s="61">
        <f>IF(T5&lt;&gt;0,S22+(-1)*'Plan for Repayment of Loan'!Q29,0)</f>
        <v>-1386.81</v>
      </c>
      <c r="U22" s="61">
        <f>IF(U5&lt;&gt;0,T22+(-1)*'Plan for Repayment of Loan'!R29,0)</f>
        <v>-1386.81</v>
      </c>
      <c r="V22" s="61">
        <f>IF(V5&lt;&gt;0,U22+(-1)*'Plan for Repayment of Loan'!S29,0)</f>
        <v>-1386.81</v>
      </c>
      <c r="W22" s="61">
        <f>IF(W5&lt;&gt;0,V22+(-1)*'Plan for Repayment of Loan'!T29,0)</f>
        <v>-1386.81</v>
      </c>
      <c r="X22" s="61">
        <f>IF(X5&lt;&gt;0,W22+(-1)*'Plan for Repayment of Loan'!U29,0)</f>
        <v>-1386.81</v>
      </c>
      <c r="Y22" s="61">
        <f>IF(Y5&lt;&gt;0,X22+(-1)*'Plan for Repayment of Loan'!V29,0)</f>
        <v>-1386.81</v>
      </c>
      <c r="Z22" s="61">
        <f>IF(Z5&lt;&gt;0,Y22+(-1)*'Plan for Repayment of Loan'!W29,0)</f>
        <v>-1386.81</v>
      </c>
      <c r="AA22" s="61">
        <f>IF(AA5&lt;&gt;0,Z22+(-1)*'Plan for Repayment of Loan'!X29,0)</f>
        <v>-1386.81</v>
      </c>
      <c r="AB22" s="61">
        <f>IF(AB5&lt;&gt;0,AA22+(-1)*'Plan for Repayment of Loan'!Y29,0)</f>
        <v>-1386.81</v>
      </c>
      <c r="AC22" s="61">
        <f>IF(AC5&lt;&gt;0,AB22+(-1)*'Plan for Repayment of Loan'!Z29,0)</f>
        <v>-1386.81</v>
      </c>
      <c r="AD22" s="61">
        <f>IF(AD5&lt;&gt;0,AC22+(-1)*'Plan for Repayment of Loan'!AA29,0)</f>
        <v>-1386.81</v>
      </c>
      <c r="AE22" s="61">
        <f>IF(AE5&lt;&gt;0,AD22+(-1)*'Plan for Repayment of Loan'!AB29,0)</f>
        <v>-1386.81</v>
      </c>
      <c r="AF22" s="61">
        <f>IF(AF5&lt;&gt;0,AE22+(-1)*'Plan for Repayment of Loan'!AC29,0)</f>
        <v>-1386.81</v>
      </c>
      <c r="AG22" s="61">
        <f>IF(AG5&lt;&gt;0,AF22+(-1)*'Plan for Repayment of Loan'!AD29,0)</f>
        <v>-1386.81</v>
      </c>
      <c r="AH22" s="61">
        <f>IF(AH5&lt;&gt;0,AG22+(-1)*'Plan for Repayment of Loan'!AE29,0)</f>
        <v>-1386.81</v>
      </c>
      <c r="AI22" s="61">
        <f>IF(AI5&lt;&gt;0,AH22+(-1)*'Plan for Repayment of Loan'!AF29,0)</f>
        <v>-1386.81</v>
      </c>
      <c r="AJ22" s="61">
        <f>IF(AJ5&lt;&gt;0,AI22+(-1)*'Plan for Repayment of Loan'!AG29,0)</f>
        <v>-1386.81</v>
      </c>
    </row>
    <row r="23" spans="1:36" ht="12.75" customHeight="1">
      <c r="A23" s="36" t="s">
        <v>262</v>
      </c>
      <c r="B23" s="10" t="s">
        <v>164</v>
      </c>
      <c r="C23" s="60">
        <f>SUMIF(D$5:AJ$5,'Investment Plan'!C$5,D23:AJ23)</f>
        <v>2255.25</v>
      </c>
      <c r="D23" s="60"/>
      <c r="E23" s="60"/>
      <c r="F23" s="60"/>
      <c r="G23" s="60">
        <f>G13</f>
        <v>43.06</v>
      </c>
      <c r="H23" s="60">
        <f aca="true" t="shared" si="7" ref="H23:AJ23">H13</f>
        <v>86.12</v>
      </c>
      <c r="I23" s="60">
        <f t="shared" si="7"/>
        <v>122.72</v>
      </c>
      <c r="J23" s="60">
        <f t="shared" si="7"/>
        <v>159.32</v>
      </c>
      <c r="K23" s="60">
        <f t="shared" si="7"/>
        <v>188.18</v>
      </c>
      <c r="L23" s="60">
        <f t="shared" si="7"/>
        <v>217.04</v>
      </c>
      <c r="M23" s="60">
        <f t="shared" si="7"/>
        <v>245.9</v>
      </c>
      <c r="N23" s="60">
        <f t="shared" si="7"/>
        <v>299.45</v>
      </c>
      <c r="O23" s="60">
        <f t="shared" si="7"/>
        <v>353</v>
      </c>
      <c r="P23" s="60">
        <f t="shared" si="7"/>
        <v>406.55</v>
      </c>
      <c r="Q23" s="60">
        <f t="shared" si="7"/>
        <v>461.6</v>
      </c>
      <c r="R23" s="60">
        <f t="shared" si="7"/>
        <v>516.65</v>
      </c>
      <c r="S23" s="60">
        <f t="shared" si="7"/>
        <v>571.7</v>
      </c>
      <c r="T23" s="60">
        <f t="shared" si="7"/>
        <v>626.75</v>
      </c>
      <c r="U23" s="60">
        <f t="shared" si="7"/>
        <v>681.8</v>
      </c>
      <c r="V23" s="60">
        <f t="shared" si="7"/>
        <v>736.85</v>
      </c>
      <c r="W23" s="60">
        <f t="shared" si="7"/>
        <v>791.9</v>
      </c>
      <c r="X23" s="60">
        <f t="shared" si="7"/>
        <v>846.95</v>
      </c>
      <c r="Y23" s="60">
        <f t="shared" si="7"/>
        <v>902</v>
      </c>
      <c r="Z23" s="60">
        <f t="shared" si="7"/>
        <v>957.05</v>
      </c>
      <c r="AA23" s="60">
        <f t="shared" si="7"/>
        <v>1086.87</v>
      </c>
      <c r="AB23" s="60">
        <f t="shared" si="7"/>
        <v>1216.69</v>
      </c>
      <c r="AC23" s="60">
        <f t="shared" si="7"/>
        <v>1346.51</v>
      </c>
      <c r="AD23" s="60">
        <f t="shared" si="7"/>
        <v>1476.33</v>
      </c>
      <c r="AE23" s="60">
        <f t="shared" si="7"/>
        <v>1606.15</v>
      </c>
      <c r="AF23" s="60">
        <f t="shared" si="7"/>
        <v>1735.97</v>
      </c>
      <c r="AG23" s="60">
        <f t="shared" si="7"/>
        <v>1865.79</v>
      </c>
      <c r="AH23" s="60">
        <f t="shared" si="7"/>
        <v>1995.61</v>
      </c>
      <c r="AI23" s="60">
        <f t="shared" si="7"/>
        <v>2125.43</v>
      </c>
      <c r="AJ23" s="60">
        <f t="shared" si="7"/>
        <v>2255.25</v>
      </c>
    </row>
    <row r="24" spans="1:36" ht="12.75" customHeight="1">
      <c r="A24" s="36" t="s">
        <v>263</v>
      </c>
      <c r="B24" s="10" t="s">
        <v>172</v>
      </c>
      <c r="C24" s="60">
        <f>SUMIF(D$5:AJ$5,'Investment Plan'!C$5,D24:AJ24)</f>
        <v>12780.05</v>
      </c>
      <c r="D24" s="60"/>
      <c r="E24" s="60"/>
      <c r="F24" s="60"/>
      <c r="G24" s="60">
        <f>'Cost and Income'!E33</f>
        <v>244.03</v>
      </c>
      <c r="H24" s="60">
        <f>'Cost and Income'!F33</f>
        <v>488.06</v>
      </c>
      <c r="I24" s="60">
        <f>'Cost and Income'!G33</f>
        <v>695.49</v>
      </c>
      <c r="J24" s="60">
        <f>'Cost and Income'!H33</f>
        <v>902.92</v>
      </c>
      <c r="K24" s="60">
        <f>'Cost and Income'!I33</f>
        <v>1066.41</v>
      </c>
      <c r="L24" s="60">
        <f>'Cost and Income'!J33</f>
        <v>1229.9</v>
      </c>
      <c r="M24" s="60">
        <f>'Cost and Income'!K33</f>
        <v>1393.39</v>
      </c>
      <c r="N24" s="60">
        <f>'Cost and Income'!L33</f>
        <v>1696.81</v>
      </c>
      <c r="O24" s="60">
        <f>'Cost and Income'!M33</f>
        <v>2000.23</v>
      </c>
      <c r="P24" s="60">
        <f>'Cost and Income'!N33</f>
        <v>2303.65</v>
      </c>
      <c r="Q24" s="60">
        <f>'Cost and Income'!O33</f>
        <v>2615.62</v>
      </c>
      <c r="R24" s="60">
        <f>'Cost and Income'!P33</f>
        <v>2927.59</v>
      </c>
      <c r="S24" s="60">
        <f>'Cost and Income'!Q33</f>
        <v>3239.56</v>
      </c>
      <c r="T24" s="60">
        <f>'Cost and Income'!R33</f>
        <v>3551.53</v>
      </c>
      <c r="U24" s="60">
        <f>'Cost and Income'!S33</f>
        <v>3863.5</v>
      </c>
      <c r="V24" s="60">
        <f>'Cost and Income'!T33</f>
        <v>4175.47</v>
      </c>
      <c r="W24" s="60">
        <f>'Cost and Income'!U33</f>
        <v>4487.44</v>
      </c>
      <c r="X24" s="60">
        <f>'Cost and Income'!V33</f>
        <v>4799.41</v>
      </c>
      <c r="Y24" s="60">
        <f>'Cost and Income'!W33</f>
        <v>5111.38</v>
      </c>
      <c r="Z24" s="60">
        <f>'Cost and Income'!X33</f>
        <v>5423.35</v>
      </c>
      <c r="AA24" s="60">
        <f>'Cost and Income'!Y33</f>
        <v>6159.02</v>
      </c>
      <c r="AB24" s="60">
        <f>'Cost and Income'!Z33</f>
        <v>6894.69</v>
      </c>
      <c r="AC24" s="60">
        <f>'Cost and Income'!AA33</f>
        <v>7630.36</v>
      </c>
      <c r="AD24" s="60">
        <f>'Cost and Income'!AB33</f>
        <v>8366.03</v>
      </c>
      <c r="AE24" s="60">
        <f>'Cost and Income'!AC33</f>
        <v>9101.7</v>
      </c>
      <c r="AF24" s="60">
        <f>'Cost and Income'!AD33</f>
        <v>9837.37</v>
      </c>
      <c r="AG24" s="60">
        <f>'Cost and Income'!AE33</f>
        <v>10573.04</v>
      </c>
      <c r="AH24" s="60">
        <f>'Cost and Income'!AF33</f>
        <v>11308.71</v>
      </c>
      <c r="AI24" s="60">
        <f>'Cost and Income'!AG33</f>
        <v>12044.38</v>
      </c>
      <c r="AJ24" s="60">
        <f>'Cost and Income'!AH33</f>
        <v>12780.05</v>
      </c>
    </row>
    <row r="25" spans="1:36" ht="12.75" customHeight="1">
      <c r="A25" s="36" t="s">
        <v>264</v>
      </c>
      <c r="B25" s="10" t="s">
        <v>173</v>
      </c>
      <c r="C25" s="60">
        <f>MAX(G25:AJ25)</f>
        <v>9399.18</v>
      </c>
      <c r="D25" s="60"/>
      <c r="E25" s="60"/>
      <c r="F25" s="60"/>
      <c r="G25" s="60">
        <f>IF(AND(G5&lt;&gt;0,'Repayment of Principal'!E24&lt;&gt;0),'Repayment of Principal'!E24,0)</f>
        <v>447.58</v>
      </c>
      <c r="H25" s="60">
        <f>IF(AND(H5&lt;&gt;0,'Repayment of Principal'!F24&lt;&gt;0),G25+'Repayment of Principal'!F24,0)</f>
        <v>895.16</v>
      </c>
      <c r="I25" s="60">
        <f>IF(AND(I5&lt;&gt;0,'Repayment of Principal'!G24&lt;&gt;0),H25+'Repayment of Principal'!G24,0)</f>
        <v>1342.74</v>
      </c>
      <c r="J25" s="60">
        <f>IF(J5&lt;&gt;0,I25+'Repayment of Principal'!H24,0)</f>
        <v>1790.32</v>
      </c>
      <c r="K25" s="60">
        <f>IF(K5&lt;&gt;0,J25+'Repayment of Principal'!I24,0)</f>
        <v>2237.9</v>
      </c>
      <c r="L25" s="60">
        <f>IF(L5&lt;&gt;0,K25+'Repayment of Principal'!J24,0)</f>
        <v>2685.48</v>
      </c>
      <c r="M25" s="60">
        <f>IF(M5&lt;&gt;0,L25+'Repayment of Principal'!K24,0)</f>
        <v>3133.06</v>
      </c>
      <c r="N25" s="60">
        <f>IF(N5&lt;&gt;0,M25+'Repayment of Principal'!L24,0)</f>
        <v>3580.64</v>
      </c>
      <c r="O25" s="60">
        <f>IF(O5&lt;&gt;0,N25+'Repayment of Principal'!M24,0)</f>
        <v>4028.22</v>
      </c>
      <c r="P25" s="60">
        <f>IF(P5&lt;&gt;0,O25+'Repayment of Principal'!N24,0)</f>
        <v>4475.8</v>
      </c>
      <c r="Q25" s="60">
        <f>IF(Q5&lt;&gt;0,P25+'Repayment of Principal'!O24,0)</f>
        <v>4923.38</v>
      </c>
      <c r="R25" s="60">
        <f>IF(R5&lt;&gt;0,Q25+'Repayment of Principal'!P24,0)</f>
        <v>5370.96</v>
      </c>
      <c r="S25" s="60">
        <f>IF(S5&lt;&gt;0,R25+'Repayment of Principal'!Q24,0)</f>
        <v>5818.54</v>
      </c>
      <c r="T25" s="60">
        <f>IF(T5&lt;&gt;0,S25+'Repayment of Principal'!R24,0)</f>
        <v>6266.12</v>
      </c>
      <c r="U25" s="60">
        <f>IF(U5&lt;&gt;0,T25+'Repayment of Principal'!S24,0)</f>
        <v>6713.7</v>
      </c>
      <c r="V25" s="60">
        <f>IF(V5&lt;&gt;0,U25+'Repayment of Principal'!T24,0)</f>
        <v>7161.28</v>
      </c>
      <c r="W25" s="60">
        <f>IF(W5&lt;&gt;0,V25+'Repayment of Principal'!U24,0)</f>
        <v>7608.86</v>
      </c>
      <c r="X25" s="60">
        <f>IF(X5&lt;&gt;0,W25+'Repayment of Principal'!V24,0)</f>
        <v>8056.44</v>
      </c>
      <c r="Y25" s="60">
        <f>IF(Y5&lt;&gt;0,X25+'Repayment of Principal'!W24,0)</f>
        <v>8504.02</v>
      </c>
      <c r="Z25" s="60">
        <f>IF(Z5&lt;&gt;0,Y25+'Repayment of Principal'!X24,0)</f>
        <v>8951.6</v>
      </c>
      <c r="AA25" s="60">
        <f>IF(AA5&lt;&gt;0,Z25+'Repayment of Principal'!Y24,0)</f>
        <v>9399.18</v>
      </c>
      <c r="AB25" s="60">
        <f>IF(AB5&lt;&gt;0,AA25+'Repayment of Principal'!Z24,0)</f>
        <v>9399.18</v>
      </c>
      <c r="AC25" s="60">
        <f>IF(AC5&lt;&gt;0,AB25+'Repayment of Principal'!AA24,0)</f>
        <v>9399.18</v>
      </c>
      <c r="AD25" s="60">
        <f>IF(AD5&lt;&gt;0,AC25+'Repayment of Principal'!AB24,0)</f>
        <v>9399.18</v>
      </c>
      <c r="AE25" s="60">
        <f>IF(AE5&lt;&gt;0,AD25+'Repayment of Principal'!AC24,0)</f>
        <v>9399.18</v>
      </c>
      <c r="AF25" s="60">
        <f>IF(AF5&lt;&gt;0,AE25+'Repayment of Principal'!AD24,0)</f>
        <v>9399.18</v>
      </c>
      <c r="AG25" s="60">
        <f>IF(AG5&lt;&gt;0,AF25+'Repayment of Principal'!AE24,0)</f>
        <v>9399.18</v>
      </c>
      <c r="AH25" s="60">
        <f>IF(AH5&lt;&gt;0,AG25+'Repayment of Principal'!AF24,0)</f>
        <v>9399.18</v>
      </c>
      <c r="AI25" s="60">
        <f>IF(AI5&lt;&gt;0,AH25+'Repayment of Principal'!AG24,0)</f>
        <v>9399.18</v>
      </c>
      <c r="AJ25" s="60">
        <f>IF(AJ5&lt;&gt;0,AI25+'Repayment of Principal'!AH24,0)</f>
        <v>9399.18</v>
      </c>
    </row>
    <row r="26" spans="1:36" ht="12.75" customHeight="1">
      <c r="A26" s="36"/>
      <c r="B26" s="3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2.75" customHeight="1">
      <c r="A27" s="186" t="s">
        <v>68</v>
      </c>
      <c r="B27" s="10" t="s">
        <v>174</v>
      </c>
      <c r="C27" s="129">
        <f>MAX(D27:AJ27)</f>
        <v>0.5472</v>
      </c>
      <c r="D27" s="129">
        <f>IF(AND(D5&lt;&gt;0,D15&gt;0),D15/D6,0)</f>
        <v>0</v>
      </c>
      <c r="E27" s="129">
        <f aca="true" t="shared" si="8" ref="E27:AJ27">IF(AND(E5&lt;&gt;0,E15&gt;0),E15/E6,0)</f>
        <v>0.4947</v>
      </c>
      <c r="F27" s="129">
        <f t="shared" si="8"/>
        <v>0.5472</v>
      </c>
      <c r="G27" s="129">
        <f t="shared" si="8"/>
        <v>0.4975</v>
      </c>
      <c r="H27" s="129">
        <f t="shared" si="8"/>
        <v>0.4404</v>
      </c>
      <c r="I27" s="129">
        <f t="shared" si="8"/>
        <v>0.3764</v>
      </c>
      <c r="J27" s="129">
        <f t="shared" si="8"/>
        <v>0.3026</v>
      </c>
      <c r="K27" s="129">
        <f t="shared" si="8"/>
        <v>0.2186</v>
      </c>
      <c r="L27" s="129">
        <f t="shared" si="8"/>
        <v>0.1208</v>
      </c>
      <c r="M27" s="129">
        <f t="shared" si="8"/>
        <v>0.007</v>
      </c>
      <c r="N27" s="129">
        <f t="shared" si="8"/>
        <v>0</v>
      </c>
      <c r="O27" s="129">
        <f t="shared" si="8"/>
        <v>0</v>
      </c>
      <c r="P27" s="129">
        <f t="shared" si="8"/>
        <v>0</v>
      </c>
      <c r="Q27" s="129">
        <f t="shared" si="8"/>
        <v>0</v>
      </c>
      <c r="R27" s="129">
        <f t="shared" si="8"/>
        <v>0</v>
      </c>
      <c r="S27" s="129">
        <f t="shared" si="8"/>
        <v>0</v>
      </c>
      <c r="T27" s="129">
        <f t="shared" si="8"/>
        <v>0</v>
      </c>
      <c r="U27" s="129">
        <f t="shared" si="8"/>
        <v>0</v>
      </c>
      <c r="V27" s="129">
        <f t="shared" si="8"/>
        <v>0</v>
      </c>
      <c r="W27" s="129">
        <f t="shared" si="8"/>
        <v>0</v>
      </c>
      <c r="X27" s="129">
        <f t="shared" si="8"/>
        <v>0</v>
      </c>
      <c r="Y27" s="129">
        <f t="shared" si="8"/>
        <v>0</v>
      </c>
      <c r="Z27" s="129">
        <f t="shared" si="8"/>
        <v>0</v>
      </c>
      <c r="AA27" s="129">
        <f t="shared" si="8"/>
        <v>0</v>
      </c>
      <c r="AB27" s="129">
        <f t="shared" si="8"/>
        <v>0</v>
      </c>
      <c r="AC27" s="129">
        <f t="shared" si="8"/>
        <v>0</v>
      </c>
      <c r="AD27" s="129">
        <f t="shared" si="8"/>
        <v>0</v>
      </c>
      <c r="AE27" s="129">
        <f t="shared" si="8"/>
        <v>0</v>
      </c>
      <c r="AF27" s="129">
        <f t="shared" si="8"/>
        <v>0</v>
      </c>
      <c r="AG27" s="129">
        <f t="shared" si="8"/>
        <v>0</v>
      </c>
      <c r="AH27" s="129">
        <f t="shared" si="8"/>
        <v>0</v>
      </c>
      <c r="AI27" s="129">
        <f t="shared" si="8"/>
        <v>0</v>
      </c>
      <c r="AJ27" s="129">
        <f t="shared" si="8"/>
        <v>0</v>
      </c>
    </row>
    <row r="28" spans="1:36" ht="12.75" customHeight="1">
      <c r="A28" s="187"/>
      <c r="B28" s="10" t="s">
        <v>175</v>
      </c>
      <c r="C28" s="129"/>
      <c r="D28" s="129">
        <f aca="true" t="shared" si="9" ref="D28:AJ28">IF(D5&lt;&gt;0,D19/D6,0)</f>
        <v>0</v>
      </c>
      <c r="E28" s="129">
        <f t="shared" si="9"/>
        <v>0.5053</v>
      </c>
      <c r="F28" s="129">
        <f t="shared" si="9"/>
        <v>0.4528</v>
      </c>
      <c r="G28" s="129">
        <f t="shared" si="9"/>
        <v>0.5025</v>
      </c>
      <c r="H28" s="129">
        <f t="shared" si="9"/>
        <v>0.5596</v>
      </c>
      <c r="I28" s="129">
        <f t="shared" si="9"/>
        <v>0.6236</v>
      </c>
      <c r="J28" s="129">
        <f t="shared" si="9"/>
        <v>0.6974</v>
      </c>
      <c r="K28" s="129">
        <f t="shared" si="9"/>
        <v>0.7814</v>
      </c>
      <c r="L28" s="129">
        <f t="shared" si="9"/>
        <v>0.8792</v>
      </c>
      <c r="M28" s="129">
        <f t="shared" si="9"/>
        <v>0.993</v>
      </c>
      <c r="N28" s="129">
        <f t="shared" si="9"/>
        <v>0.9363</v>
      </c>
      <c r="O28" s="129">
        <f t="shared" si="9"/>
        <v>0.9404</v>
      </c>
      <c r="P28" s="129">
        <f t="shared" si="9"/>
        <v>0.944</v>
      </c>
      <c r="Q28" s="129">
        <f t="shared" si="9"/>
        <v>0.9472</v>
      </c>
      <c r="R28" s="129">
        <f t="shared" si="9"/>
        <v>0.9501</v>
      </c>
      <c r="S28" s="129">
        <f t="shared" si="9"/>
        <v>0.9527</v>
      </c>
      <c r="T28" s="129">
        <f t="shared" si="9"/>
        <v>0.955</v>
      </c>
      <c r="U28" s="129">
        <f t="shared" si="9"/>
        <v>0.9571</v>
      </c>
      <c r="V28" s="129">
        <f t="shared" si="9"/>
        <v>0.9591</v>
      </c>
      <c r="W28" s="129">
        <f t="shared" si="9"/>
        <v>0.9608</v>
      </c>
      <c r="X28" s="129">
        <f t="shared" si="9"/>
        <v>0.9624</v>
      </c>
      <c r="Y28" s="129">
        <f t="shared" si="9"/>
        <v>0.9639</v>
      </c>
      <c r="Z28" s="129">
        <f t="shared" si="9"/>
        <v>0.9653</v>
      </c>
      <c r="AA28" s="129">
        <f t="shared" si="9"/>
        <v>0.9673</v>
      </c>
      <c r="AB28" s="129">
        <f t="shared" si="9"/>
        <v>0.9685</v>
      </c>
      <c r="AC28" s="129">
        <f t="shared" si="9"/>
        <v>0.9696</v>
      </c>
      <c r="AD28" s="129">
        <f t="shared" si="9"/>
        <v>0.9706</v>
      </c>
      <c r="AE28" s="129">
        <f t="shared" si="9"/>
        <v>0.9716</v>
      </c>
      <c r="AF28" s="129">
        <f t="shared" si="9"/>
        <v>0.9725</v>
      </c>
      <c r="AG28" s="129">
        <f t="shared" si="9"/>
        <v>0.9734</v>
      </c>
      <c r="AH28" s="129">
        <f t="shared" si="9"/>
        <v>0.9742</v>
      </c>
      <c r="AI28" s="129">
        <f t="shared" si="9"/>
        <v>0.9749</v>
      </c>
      <c r="AJ28" s="129">
        <f t="shared" si="9"/>
        <v>0.9756</v>
      </c>
    </row>
    <row r="29" spans="1:36" ht="12.75" customHeight="1">
      <c r="A29" s="188"/>
      <c r="B29" s="10" t="s">
        <v>176</v>
      </c>
      <c r="C29" s="18"/>
      <c r="D29" s="129">
        <f>D27+D28</f>
        <v>0</v>
      </c>
      <c r="E29" s="129">
        <f aca="true" t="shared" si="10" ref="E29:K29">E27+E28</f>
        <v>1</v>
      </c>
      <c r="F29" s="129">
        <f t="shared" si="10"/>
        <v>1</v>
      </c>
      <c r="G29" s="129">
        <f t="shared" si="10"/>
        <v>1</v>
      </c>
      <c r="H29" s="129">
        <f t="shared" si="10"/>
        <v>1</v>
      </c>
      <c r="I29" s="129">
        <f t="shared" si="10"/>
        <v>1</v>
      </c>
      <c r="J29" s="129">
        <f t="shared" si="10"/>
        <v>1</v>
      </c>
      <c r="K29" s="129">
        <f t="shared" si="10"/>
        <v>1</v>
      </c>
      <c r="L29" s="129">
        <f aca="true" t="shared" si="11" ref="L29:AJ29">L27+L28</f>
        <v>1</v>
      </c>
      <c r="M29" s="129">
        <f t="shared" si="11"/>
        <v>1</v>
      </c>
      <c r="N29" s="129">
        <f t="shared" si="11"/>
        <v>0.9363</v>
      </c>
      <c r="O29" s="129">
        <f t="shared" si="11"/>
        <v>0.9404</v>
      </c>
      <c r="P29" s="129">
        <f t="shared" si="11"/>
        <v>0.944</v>
      </c>
      <c r="Q29" s="129">
        <f t="shared" si="11"/>
        <v>0.9472</v>
      </c>
      <c r="R29" s="129">
        <f t="shared" si="11"/>
        <v>0.9501</v>
      </c>
      <c r="S29" s="129">
        <f t="shared" si="11"/>
        <v>0.9527</v>
      </c>
      <c r="T29" s="129">
        <f t="shared" si="11"/>
        <v>0.955</v>
      </c>
      <c r="U29" s="129">
        <f t="shared" si="11"/>
        <v>0.9571</v>
      </c>
      <c r="V29" s="129">
        <f t="shared" si="11"/>
        <v>0.9591</v>
      </c>
      <c r="W29" s="129">
        <f t="shared" si="11"/>
        <v>0.9608</v>
      </c>
      <c r="X29" s="129">
        <f t="shared" si="11"/>
        <v>0.9624</v>
      </c>
      <c r="Y29" s="129">
        <f t="shared" si="11"/>
        <v>0.9639</v>
      </c>
      <c r="Z29" s="129">
        <f t="shared" si="11"/>
        <v>0.9653</v>
      </c>
      <c r="AA29" s="129">
        <f t="shared" si="11"/>
        <v>0.9673</v>
      </c>
      <c r="AB29" s="129">
        <f t="shared" si="11"/>
        <v>0.9685</v>
      </c>
      <c r="AC29" s="129">
        <f t="shared" si="11"/>
        <v>0.9696</v>
      </c>
      <c r="AD29" s="129">
        <f t="shared" si="11"/>
        <v>0.9706</v>
      </c>
      <c r="AE29" s="129">
        <f t="shared" si="11"/>
        <v>0.9716</v>
      </c>
      <c r="AF29" s="129">
        <f t="shared" si="11"/>
        <v>0.9725</v>
      </c>
      <c r="AG29" s="129">
        <f t="shared" si="11"/>
        <v>0.9734</v>
      </c>
      <c r="AH29" s="129">
        <f t="shared" si="11"/>
        <v>0.9742</v>
      </c>
      <c r="AI29" s="129">
        <f t="shared" si="11"/>
        <v>0.9749</v>
      </c>
      <c r="AJ29" s="129">
        <f t="shared" si="11"/>
        <v>0.9756</v>
      </c>
    </row>
    <row r="33" ht="12.75" customHeight="1">
      <c r="C33" s="73"/>
    </row>
  </sheetData>
  <sheetProtection/>
  <mergeCells count="9">
    <mergeCell ref="N4:X4"/>
    <mergeCell ref="Y4:AJ4"/>
    <mergeCell ref="A27:A29"/>
    <mergeCell ref="G4:M4"/>
    <mergeCell ref="D4:F4"/>
    <mergeCell ref="A2:B2"/>
    <mergeCell ref="A4:A5"/>
    <mergeCell ref="B4:B5"/>
    <mergeCell ref="C4:C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 xml:space="preserve">&amp;C&amp;P+17 </oddFooter>
  </headerFooter>
  <colBreaks count="2" manualBreakCount="2">
    <brk id="13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tq10</cp:lastModifiedBy>
  <cp:lastPrinted>2006-12-01T17:19:20Z</cp:lastPrinted>
  <dcterms:created xsi:type="dcterms:W3CDTF">2006-03-15T10:23:44Z</dcterms:created>
  <dcterms:modified xsi:type="dcterms:W3CDTF">2008-05-15T10:12:54Z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