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8550" activeTab="0"/>
  </bookViews>
  <sheets>
    <sheet name="Basic Parameters" sheetId="1" r:id="rId1"/>
    <sheet name="Loan and Payment" sheetId="2" r:id="rId2"/>
    <sheet name="Total Cost and Expense" sheetId="3" r:id="rId3"/>
    <sheet name="Capital Raising" sheetId="4" r:id="rId4"/>
    <sheet name="Profit and Loss" sheetId="5" r:id="rId5"/>
    <sheet name="Cash Flow (equity）" sheetId="6" r:id="rId6"/>
    <sheet name="Chart3" sheetId="7" r:id="rId7"/>
  </sheets>
  <definedNames/>
  <calcPr fullCalcOnLoad="1"/>
</workbook>
</file>

<file path=xl/comments3.xml><?xml version="1.0" encoding="utf-8"?>
<comments xmlns="http://schemas.openxmlformats.org/spreadsheetml/2006/main">
  <authors>
    <author>rchild</author>
  </authors>
  <commentList>
    <comment ref="M7" authorId="0">
      <text>
        <r>
          <rPr>
            <b/>
            <sz val="8"/>
            <rFont val="Tahoma"/>
            <family val="0"/>
          </rPr>
          <t>rchild:</t>
        </r>
        <r>
          <rPr>
            <sz val="8"/>
            <rFont val="Tahoma"/>
            <family val="0"/>
          </rPr>
          <t xml:space="preserve">
Taken from DI cash flow tables </t>
        </r>
      </text>
    </comment>
  </commentList>
</comments>
</file>

<file path=xl/sharedStrings.xml><?xml version="1.0" encoding="utf-8"?>
<sst xmlns="http://schemas.openxmlformats.org/spreadsheetml/2006/main" count="356" uniqueCount="184">
  <si>
    <t>1</t>
  </si>
  <si>
    <t>1.2</t>
  </si>
  <si>
    <t>2</t>
  </si>
  <si>
    <t>1</t>
  </si>
  <si>
    <t>1.1</t>
  </si>
  <si>
    <t>3</t>
  </si>
  <si>
    <t>4</t>
  </si>
  <si>
    <t>5</t>
  </si>
  <si>
    <t>6</t>
  </si>
  <si>
    <t>series</t>
  </si>
  <si>
    <t>item</t>
  </si>
  <si>
    <t>2</t>
  </si>
  <si>
    <t>year 2</t>
  </si>
  <si>
    <t>year 3</t>
  </si>
  <si>
    <t>interest during construction</t>
  </si>
  <si>
    <t>fluid capital</t>
  </si>
  <si>
    <t>10000RMB</t>
  </si>
  <si>
    <t>cost</t>
  </si>
  <si>
    <t>salary</t>
  </si>
  <si>
    <t>Total Cost and Expense</t>
  </si>
  <si>
    <t>construction period</t>
  </si>
  <si>
    <t>year 4</t>
  </si>
  <si>
    <t>year 5</t>
  </si>
  <si>
    <t>year 6</t>
  </si>
  <si>
    <t>year 7</t>
  </si>
  <si>
    <t>year 8</t>
  </si>
  <si>
    <t>year 9</t>
  </si>
  <si>
    <t>operation period</t>
  </si>
  <si>
    <t>auxiliary electricity consumption rate</t>
  </si>
  <si>
    <t>year 1</t>
  </si>
  <si>
    <t>Basic Parameters</t>
  </si>
  <si>
    <t>remark</t>
  </si>
  <si>
    <t>data source</t>
  </si>
  <si>
    <t>general description</t>
  </si>
  <si>
    <t xml:space="preserve"> </t>
  </si>
  <si>
    <t>installed capacity</t>
  </si>
  <si>
    <t>MW</t>
  </si>
  <si>
    <t>year</t>
  </si>
  <si>
    <t>RMB</t>
  </si>
  <si>
    <t>investment plan</t>
  </si>
  <si>
    <t>total investment</t>
  </si>
  <si>
    <t>1.1</t>
  </si>
  <si>
    <t>fund raising</t>
  </si>
  <si>
    <t>sensitivity analysis</t>
  </si>
  <si>
    <t>variation range</t>
  </si>
  <si>
    <t>annual O&amp;M cost</t>
  </si>
  <si>
    <t>bus-bar tariff (not including VAT)</t>
  </si>
  <si>
    <t>Capital Raising</t>
  </si>
  <si>
    <t>capital raising</t>
  </si>
  <si>
    <t>equity</t>
  </si>
  <si>
    <t>for fluid capital</t>
  </si>
  <si>
    <t>loan</t>
  </si>
  <si>
    <t>long-term loan</t>
  </si>
  <si>
    <t>principal</t>
  </si>
  <si>
    <t>interest</t>
  </si>
  <si>
    <t>fluid capital loan</t>
  </si>
  <si>
    <t>10000RMB</t>
  </si>
  <si>
    <r>
      <t>feed-in electricity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10000kWh</t>
    </r>
    <r>
      <rPr>
        <sz val="10"/>
        <rFont val="宋体"/>
        <family val="0"/>
      </rPr>
      <t>）</t>
    </r>
  </si>
  <si>
    <r>
      <t>bus-bar tariff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RMB/kWh</t>
    </r>
    <r>
      <rPr>
        <sz val="10"/>
        <rFont val="宋体"/>
        <family val="0"/>
      </rPr>
      <t>）</t>
    </r>
  </si>
  <si>
    <t>total cost and expense</t>
  </si>
  <si>
    <t>total profit</t>
  </si>
  <si>
    <t>Profit and  Loss</t>
  </si>
  <si>
    <t>recovery of residue value of the fixed assets</t>
  </si>
  <si>
    <t>emission reduction</t>
  </si>
  <si>
    <t>income of emission reduction</t>
  </si>
  <si>
    <r>
      <t>Cash Flow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Total Investment</t>
    </r>
    <r>
      <rPr>
        <b/>
        <sz val="12"/>
        <rFont val="宋体"/>
        <family val="0"/>
      </rPr>
      <t>）</t>
    </r>
  </si>
  <si>
    <t>cash inflow</t>
  </si>
  <si>
    <t>recovery of fluid capital</t>
  </si>
  <si>
    <t>cash outflow</t>
  </si>
  <si>
    <t>operating cost</t>
  </si>
  <si>
    <t>income tax</t>
  </si>
  <si>
    <t>net cash flow</t>
  </si>
  <si>
    <t>maintenance fee</t>
  </si>
  <si>
    <t>depreciation</t>
  </si>
  <si>
    <t>power generation</t>
  </si>
  <si>
    <t>MWh</t>
  </si>
  <si>
    <t>FSR 42</t>
  </si>
  <si>
    <t>fixed assets investment</t>
  </si>
  <si>
    <t>FSR 32</t>
  </si>
  <si>
    <t>oil consumption</t>
  </si>
  <si>
    <t>oil consumption</t>
  </si>
  <si>
    <t>employee welfare</t>
  </si>
  <si>
    <t>management fee</t>
  </si>
  <si>
    <t>total income</t>
  </si>
  <si>
    <t>gas consumption</t>
  </si>
  <si>
    <t>gas consumption</t>
  </si>
  <si>
    <t>7</t>
  </si>
  <si>
    <t>value of fixed assets</t>
  </si>
  <si>
    <t>value of fixed assets</t>
  </si>
  <si>
    <r>
      <t>feed-in electricity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10000kWh</t>
    </r>
    <r>
      <rPr>
        <sz val="10"/>
        <rFont val="宋体"/>
        <family val="0"/>
      </rPr>
      <t>）</t>
    </r>
  </si>
  <si>
    <t>maintenance fee</t>
  </si>
  <si>
    <t>salary, employee welfare</t>
  </si>
  <si>
    <t>management fee</t>
  </si>
  <si>
    <t>depreciation</t>
  </si>
  <si>
    <t xml:space="preserve">operation cost included </t>
  </si>
  <si>
    <t>IRR</t>
  </si>
  <si>
    <t>equity in value of fixed assets</t>
  </si>
  <si>
    <t>for value of fixed assets</t>
  </si>
  <si>
    <t>FSR 33</t>
  </si>
  <si>
    <t>FSR 34</t>
  </si>
  <si>
    <t>bus-bar tariff (not including VAT)</t>
  </si>
  <si>
    <t>FSR 35</t>
  </si>
  <si>
    <t>FSR 21</t>
  </si>
  <si>
    <t>depreciation period</t>
  </si>
  <si>
    <t>year</t>
  </si>
  <si>
    <t>rate of residual value</t>
  </si>
  <si>
    <t>civil engineering</t>
  </si>
  <si>
    <t>value</t>
  </si>
  <si>
    <t>equipment</t>
  </si>
  <si>
    <t>7.1</t>
  </si>
  <si>
    <t>year 10</t>
  </si>
  <si>
    <t>Loan and Payment</t>
  </si>
  <si>
    <t>accumulative principal and interest of loan at the beginning of the year</t>
  </si>
  <si>
    <t>principal</t>
  </si>
  <si>
    <t>accumulative interest during construction period</t>
  </si>
  <si>
    <t>loan of the year</t>
  </si>
  <si>
    <t>3</t>
  </si>
  <si>
    <t>accrued interest of the year</t>
  </si>
  <si>
    <t>4</t>
  </si>
  <si>
    <t>principal and interest payment of the year</t>
  </si>
  <si>
    <t>4.1</t>
  </si>
  <si>
    <t>4.2</t>
  </si>
  <si>
    <t>loss in the first 5 years</t>
  </si>
  <si>
    <t>balance after compensating the loss of the previous 5 years</t>
  </si>
  <si>
    <t>income tax without prefential tax</t>
  </si>
  <si>
    <t>profit after tax</t>
  </si>
  <si>
    <t>surplus reserves</t>
  </si>
  <si>
    <t>distributable profit</t>
  </si>
  <si>
    <t>undistributed profit</t>
  </si>
  <si>
    <t>income tax</t>
  </si>
  <si>
    <t>surplus reserves</t>
  </si>
  <si>
    <t>sales revenue of power generation</t>
  </si>
  <si>
    <t>FSR 35</t>
  </si>
  <si>
    <t>value of 2#</t>
  </si>
  <si>
    <t>value of 3#</t>
  </si>
  <si>
    <t>2.4</t>
  </si>
  <si>
    <t>others</t>
  </si>
  <si>
    <t>series</t>
  </si>
  <si>
    <t>item</t>
  </si>
  <si>
    <t>value of 2#</t>
  </si>
  <si>
    <t>value of 3#</t>
  </si>
  <si>
    <t>unit</t>
  </si>
  <si>
    <t>4.1</t>
  </si>
  <si>
    <t>4.3</t>
  </si>
  <si>
    <t>CER price</t>
  </si>
  <si>
    <t>net cash flow accordingly</t>
  </si>
  <si>
    <t>Time period</t>
  </si>
  <si>
    <t>0703-0802</t>
  </si>
  <si>
    <t>0803-0902</t>
  </si>
  <si>
    <t>0903-1002</t>
  </si>
  <si>
    <t>1003-1102</t>
  </si>
  <si>
    <t>1103-1202</t>
  </si>
  <si>
    <t>1203-1302</t>
  </si>
  <si>
    <t>1303-1402</t>
  </si>
  <si>
    <t>1403-1502</t>
  </si>
  <si>
    <t>1503-1602</t>
  </si>
  <si>
    <t>IRR considering of CERs sales revenues</t>
  </si>
  <si>
    <t>7</t>
  </si>
  <si>
    <t>7.2</t>
  </si>
  <si>
    <t>equity investment</t>
  </si>
  <si>
    <t>principal payment</t>
  </si>
  <si>
    <r>
      <t>principal payment</t>
    </r>
    <r>
      <rPr>
        <sz val="10"/>
        <rFont val="宋体"/>
        <family val="0"/>
      </rPr>
      <t>　</t>
    </r>
  </si>
  <si>
    <t>interest payment</t>
  </si>
  <si>
    <t>Profit and loss table of FSR</t>
  </si>
  <si>
    <t>Profit and loss table of FSR</t>
  </si>
  <si>
    <t>splitted in proportion according to FSR 33 - total interest during construction</t>
  </si>
  <si>
    <t>splitted in proportion according to FSR 33 - total fluid capital</t>
  </si>
  <si>
    <t>splitted in proportion according to FSR - fixed assets depreciation</t>
  </si>
  <si>
    <t>according to FSR - fixed assets depreciation</t>
  </si>
  <si>
    <t>value of fixed assets</t>
  </si>
  <si>
    <t>gross</t>
  </si>
  <si>
    <t>net</t>
  </si>
  <si>
    <t>aux use</t>
  </si>
  <si>
    <t xml:space="preserve"> </t>
  </si>
  <si>
    <t>FSR 34</t>
  </si>
  <si>
    <t>year 11</t>
  </si>
  <si>
    <t>year 12</t>
  </si>
  <si>
    <t>year 13</t>
  </si>
  <si>
    <t>year 14</t>
  </si>
  <si>
    <t>O&amp;M costs per MW</t>
  </si>
  <si>
    <t>Liaoyuan</t>
  </si>
  <si>
    <t>Yangquan</t>
  </si>
  <si>
    <t>Shanxi Liulin</t>
  </si>
  <si>
    <t>FSR 35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</si>
</sst>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&quot;￥&quot;* #,##0.00_-;\-&quot;￥&quot;* #,##0.00_-;_-&quot;￥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0.0%"/>
    <numFmt numFmtId="183" formatCode="0.00_ "/>
    <numFmt numFmtId="184" formatCode="0.00_);[Red]\(0.00\)"/>
    <numFmt numFmtId="185" formatCode="0_ "/>
    <numFmt numFmtId="186" formatCode="0.0000_ "/>
    <numFmt numFmtId="187" formatCode="0.0_ "/>
    <numFmt numFmtId="188" formatCode="0.000_ "/>
    <numFmt numFmtId="189" formatCode="0_);[Red]\(0\)"/>
    <numFmt numFmtId="190" formatCode="0.000%"/>
    <numFmt numFmtId="191" formatCode="#,##0_ ;[Red]\-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_);[Red]\(0.0000\)"/>
    <numFmt numFmtId="197" formatCode="0.0_);[Red]\(0.0\)"/>
    <numFmt numFmtId="198" formatCode="_ * #,##0.0_ ;_ * \-#,##0.0_ ;_ * &quot;-&quot;??_ ;_ @_ "/>
    <numFmt numFmtId="199" formatCode="_ * #,##0_ ;_ * \-#,##0_ ;_ * &quot;-&quot;??_ ;_ @_ "/>
  </numFmts>
  <fonts count="1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Dashed"/>
      <top style="thick"/>
      <bottom style="thin"/>
    </border>
    <border>
      <left style="thin"/>
      <right style="mediumDashed"/>
      <top style="thin"/>
      <bottom style="thin"/>
    </border>
    <border>
      <left style="thin"/>
      <right style="mediumDashed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7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185" fontId="4" fillId="0" borderId="1" xfId="0" applyNumberFormat="1" applyFont="1" applyFill="1" applyBorder="1" applyAlignment="1">
      <alignment horizontal="right" vertical="center"/>
    </xf>
    <xf numFmtId="185" fontId="4" fillId="2" borderId="1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vertical="center"/>
    </xf>
    <xf numFmtId="9" fontId="4" fillId="4" borderId="2" xfId="0" applyNumberFormat="1" applyFont="1" applyFill="1" applyBorder="1" applyAlignment="1">
      <alignment vertical="center"/>
    </xf>
    <xf numFmtId="9" fontId="4" fillId="5" borderId="6" xfId="0" applyNumberFormat="1" applyFont="1" applyFill="1" applyBorder="1" applyAlignment="1">
      <alignment vertical="center"/>
    </xf>
    <xf numFmtId="10" fontId="4" fillId="3" borderId="3" xfId="0" applyNumberFormat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4" borderId="3" xfId="0" applyNumberFormat="1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10" fontId="4" fillId="5" borderId="4" xfId="0" applyNumberFormat="1" applyFont="1" applyFill="1" applyBorder="1" applyAlignment="1">
      <alignment horizontal="center" vertical="center"/>
    </xf>
    <xf numFmtId="10" fontId="4" fillId="5" borderId="6" xfId="0" applyNumberFormat="1" applyFont="1" applyFill="1" applyBorder="1" applyAlignment="1">
      <alignment horizontal="center" vertical="center"/>
    </xf>
    <xf numFmtId="189" fontId="4" fillId="0" borderId="1" xfId="0" applyNumberFormat="1" applyFont="1" applyFill="1" applyBorder="1" applyAlignment="1">
      <alignment horizontal="right" vertical="center"/>
    </xf>
    <xf numFmtId="185" fontId="4" fillId="0" borderId="1" xfId="0" applyNumberFormat="1" applyFont="1" applyFill="1" applyBorder="1" applyAlignment="1">
      <alignment vertical="center"/>
    </xf>
    <xf numFmtId="185" fontId="4" fillId="2" borderId="1" xfId="0" applyNumberFormat="1" applyFont="1" applyFill="1" applyBorder="1" applyAlignment="1">
      <alignment vertical="center"/>
    </xf>
    <xf numFmtId="185" fontId="4" fillId="0" borderId="5" xfId="0" applyNumberFormat="1" applyFont="1" applyFill="1" applyBorder="1" applyAlignment="1">
      <alignment vertical="center"/>
    </xf>
    <xf numFmtId="9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9" fontId="4" fillId="2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4" fillId="5" borderId="4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9" fontId="10" fillId="0" borderId="0" xfId="0" applyNumberFormat="1" applyFont="1" applyFill="1" applyAlignment="1">
      <alignment vertical="center"/>
    </xf>
    <xf numFmtId="9" fontId="4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5" fontId="4" fillId="2" borderId="2" xfId="0" applyNumberFormat="1" applyFont="1" applyFill="1" applyBorder="1" applyAlignment="1">
      <alignment horizontal="right" vertical="center"/>
    </xf>
    <xf numFmtId="185" fontId="4" fillId="0" borderId="2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185" fontId="4" fillId="0" borderId="5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3" fontId="4" fillId="0" borderId="0" xfId="0" applyNumberFormat="1" applyFont="1" applyFill="1" applyBorder="1" applyAlignment="1">
      <alignment vertical="center" wrapText="1"/>
    </xf>
    <xf numFmtId="177" fontId="10" fillId="0" borderId="0" xfId="0" applyNumberFormat="1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87" fontId="6" fillId="0" borderId="1" xfId="0" applyNumberFormat="1" applyFont="1" applyFill="1" applyBorder="1" applyAlignment="1">
      <alignment horizontal="center" vertical="center"/>
    </xf>
    <xf numFmtId="185" fontId="4" fillId="0" borderId="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vertical="center" wrapText="1"/>
    </xf>
    <xf numFmtId="185" fontId="4" fillId="0" borderId="3" xfId="0" applyNumberFormat="1" applyFont="1" applyFill="1" applyBorder="1" applyAlignment="1">
      <alignment vertical="center" wrapText="1"/>
    </xf>
    <xf numFmtId="188" fontId="4" fillId="0" borderId="3" xfId="0" applyNumberFormat="1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vertical="center"/>
    </xf>
    <xf numFmtId="10" fontId="4" fillId="0" borderId="3" xfId="0" applyNumberFormat="1" applyFont="1" applyFill="1" applyBorder="1" applyAlignment="1">
      <alignment vertical="center" wrapText="1"/>
    </xf>
    <xf numFmtId="183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9" fontId="4" fillId="0" borderId="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9" fontId="4" fillId="0" borderId="16" xfId="0" applyNumberFormat="1" applyFont="1" applyFill="1" applyBorder="1" applyAlignment="1">
      <alignment vertical="center" wrapText="1"/>
    </xf>
    <xf numFmtId="185" fontId="4" fillId="0" borderId="16" xfId="0" applyNumberFormat="1" applyFont="1" applyFill="1" applyBorder="1" applyAlignment="1">
      <alignment vertical="center" wrapText="1"/>
    </xf>
    <xf numFmtId="188" fontId="4" fillId="0" borderId="16" xfId="0" applyNumberFormat="1" applyFont="1" applyFill="1" applyBorder="1" applyAlignment="1">
      <alignment vertical="center" wrapText="1"/>
    </xf>
    <xf numFmtId="9" fontId="4" fillId="0" borderId="16" xfId="0" applyNumberFormat="1" applyFont="1" applyFill="1" applyBorder="1" applyAlignment="1">
      <alignment vertical="center"/>
    </xf>
    <xf numFmtId="10" fontId="4" fillId="0" borderId="16" xfId="0" applyNumberFormat="1" applyFont="1" applyFill="1" applyBorder="1" applyAlignment="1">
      <alignment vertical="center" wrapText="1"/>
    </xf>
    <xf numFmtId="183" fontId="4" fillId="0" borderId="16" xfId="0" applyNumberFormat="1" applyFont="1" applyFill="1" applyBorder="1" applyAlignment="1">
      <alignment vertical="center" wrapText="1"/>
    </xf>
    <xf numFmtId="9" fontId="4" fillId="0" borderId="17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185" fontId="4" fillId="0" borderId="8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 wrapText="1"/>
    </xf>
    <xf numFmtId="185" fontId="4" fillId="0" borderId="24" xfId="0" applyNumberFormat="1" applyFont="1" applyFill="1" applyBorder="1" applyAlignment="1">
      <alignment horizontal="right" vertical="center"/>
    </xf>
    <xf numFmtId="1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9" fontId="4" fillId="0" borderId="0" xfId="0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9" fontId="6" fillId="0" borderId="21" xfId="0" applyNumberFormat="1" applyFont="1" applyFill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9" fontId="0" fillId="0" borderId="0" xfId="0" applyNumberFormat="1" applyFont="1" applyFill="1" applyAlignment="1">
      <alignment vertical="center"/>
    </xf>
    <xf numFmtId="199" fontId="0" fillId="0" borderId="0" xfId="15" applyNumberFormat="1" applyFont="1" applyFill="1" applyAlignment="1">
      <alignment vertical="center"/>
    </xf>
    <xf numFmtId="0" fontId="4" fillId="0" borderId="16" xfId="0" applyNumberFormat="1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'Basic Parameters'!$B$43</c:f>
              <c:strCache>
                <c:ptCount val="1"/>
                <c:pt idx="0">
                  <c:v>value of fixed assets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'Basic Parameters'!$D$42:$F$42</c:f>
              <c:numCache>
                <c:ptCount val="3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</c:numCache>
            </c:numRef>
          </c:cat>
          <c:val>
            <c:numRef>
              <c:f>'Basic Parameters'!$D$43:$F$43</c:f>
              <c:numCache>
                <c:ptCount val="3"/>
                <c:pt idx="1">
                  <c:v>0.05687377330970727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'Basic Parameters'!$B$44</c:f>
              <c:strCache>
                <c:ptCount val="1"/>
                <c:pt idx="0">
                  <c:v>annual O&amp;M 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'Basic Parameters'!$D$42:$F$42</c:f>
              <c:numCache>
                <c:ptCount val="3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</c:numCache>
            </c:numRef>
          </c:cat>
          <c:val>
            <c:numRef>
              <c:f>'Basic Parameters'!$D$44:$F$44</c:f>
              <c:numCache>
                <c:ptCount val="3"/>
                <c:pt idx="1">
                  <c:v>0.05687377330970727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'Basic Parameters'!$B$45</c:f>
              <c:strCache>
                <c:ptCount val="1"/>
                <c:pt idx="0">
                  <c:v>bus-bar tariff (not including VAT)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'Basic Parameters'!$D$42:$F$42</c:f>
              <c:numCache>
                <c:ptCount val="3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</c:numCache>
            </c:numRef>
          </c:cat>
          <c:val>
            <c:numRef>
              <c:f>'Basic Parameters'!$D$45:$F$45</c:f>
              <c:numCache>
                <c:ptCount val="3"/>
                <c:pt idx="1">
                  <c:v>0.05687377330970727</c:v>
                </c:pt>
              </c:numCache>
            </c:numRef>
          </c:val>
          <c:smooth val="0"/>
        </c:ser>
        <c:marker val="1"/>
        <c:axId val="55984934"/>
        <c:axId val="34102359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  <c:min val="0.0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4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9.00390625" style="5" customWidth="1"/>
    <col min="2" max="2" width="27.875" style="4" customWidth="1"/>
    <col min="3" max="4" width="10.625" style="4" customWidth="1"/>
    <col min="5" max="5" width="20.875" style="3" customWidth="1"/>
    <col min="6" max="7" width="10.625" style="4" customWidth="1"/>
    <col min="8" max="8" width="18.875" style="4" customWidth="1"/>
    <col min="9" max="10" width="9.00390625" style="4" customWidth="1"/>
    <col min="11" max="11" width="11.375" style="4" customWidth="1"/>
    <col min="12" max="16384" width="9.00390625" style="4" customWidth="1"/>
  </cols>
  <sheetData>
    <row r="1" spans="1:8" ht="30" customHeight="1" thickBot="1" thickTop="1">
      <c r="A1" s="144" t="s">
        <v>30</v>
      </c>
      <c r="B1" s="145"/>
      <c r="C1" s="146"/>
      <c r="D1" s="146"/>
      <c r="E1" s="146"/>
      <c r="F1" s="147"/>
      <c r="G1" s="147"/>
      <c r="H1" s="148"/>
    </row>
    <row r="2" spans="1:8" ht="15" customHeight="1" thickTop="1">
      <c r="A2" s="52" t="s">
        <v>9</v>
      </c>
      <c r="B2" s="82" t="s">
        <v>10</v>
      </c>
      <c r="C2" s="90" t="s">
        <v>133</v>
      </c>
      <c r="D2" s="91" t="s">
        <v>31</v>
      </c>
      <c r="E2" s="113" t="s">
        <v>32</v>
      </c>
      <c r="F2" s="103" t="s">
        <v>134</v>
      </c>
      <c r="G2" s="91" t="s">
        <v>31</v>
      </c>
      <c r="H2" s="92" t="s">
        <v>32</v>
      </c>
    </row>
    <row r="3" spans="1:8" ht="15" customHeight="1">
      <c r="A3" s="53"/>
      <c r="B3" s="82" t="s">
        <v>33</v>
      </c>
      <c r="C3" s="93"/>
      <c r="D3" s="44"/>
      <c r="E3" s="114"/>
      <c r="F3" s="104"/>
      <c r="G3" s="9" t="s">
        <v>34</v>
      </c>
      <c r="H3" s="77"/>
    </row>
    <row r="4" spans="1:8" ht="15" customHeight="1">
      <c r="A4" s="53" t="s">
        <v>0</v>
      </c>
      <c r="B4" s="83" t="s">
        <v>35</v>
      </c>
      <c r="C4" s="94">
        <f>1.5</f>
        <v>1.5</v>
      </c>
      <c r="D4" s="40" t="s">
        <v>36</v>
      </c>
      <c r="E4" s="115" t="s">
        <v>102</v>
      </c>
      <c r="F4" s="105">
        <f>2</f>
        <v>2</v>
      </c>
      <c r="G4" s="40" t="s">
        <v>36</v>
      </c>
      <c r="H4" s="39" t="s">
        <v>102</v>
      </c>
    </row>
    <row r="5" spans="1:10" s="3" customFormat="1" ht="24.75" customHeight="1">
      <c r="A5" s="53" t="s">
        <v>11</v>
      </c>
      <c r="B5" s="83" t="s">
        <v>74</v>
      </c>
      <c r="C5" s="94">
        <f>(3*450*330*24*0.65)/1000</f>
        <v>6949.8</v>
      </c>
      <c r="D5" s="9" t="s">
        <v>75</v>
      </c>
      <c r="E5" s="115" t="s">
        <v>183</v>
      </c>
      <c r="F5" s="3">
        <f>(4*450*330*24*0.65)/1000</f>
        <v>9266.4</v>
      </c>
      <c r="G5" s="9" t="s">
        <v>75</v>
      </c>
      <c r="H5" s="39" t="s">
        <v>183</v>
      </c>
      <c r="I5" s="132">
        <f>C5+F5</f>
        <v>16216.2</v>
      </c>
      <c r="J5" s="3" t="s">
        <v>170</v>
      </c>
    </row>
    <row r="6" spans="1:10" ht="15" customHeight="1">
      <c r="A6" s="53" t="s">
        <v>5</v>
      </c>
      <c r="B6" s="84" t="s">
        <v>28</v>
      </c>
      <c r="C6" s="95">
        <f>21/695</f>
        <v>0.030215827338129497</v>
      </c>
      <c r="D6" s="40"/>
      <c r="E6" s="115" t="s">
        <v>99</v>
      </c>
      <c r="F6" s="106">
        <f>28/927</f>
        <v>0.030204962243797196</v>
      </c>
      <c r="G6" s="40"/>
      <c r="H6" s="39" t="s">
        <v>132</v>
      </c>
      <c r="I6" s="131">
        <f>I5*(1-0.03)</f>
        <v>15729.714</v>
      </c>
      <c r="J6" s="4" t="s">
        <v>171</v>
      </c>
    </row>
    <row r="7" spans="1:10" ht="15" customHeight="1">
      <c r="A7" s="53" t="s">
        <v>6</v>
      </c>
      <c r="B7" s="83" t="s">
        <v>20</v>
      </c>
      <c r="C7" s="94">
        <v>1</v>
      </c>
      <c r="D7" s="40" t="s">
        <v>104</v>
      </c>
      <c r="E7" s="115" t="s">
        <v>76</v>
      </c>
      <c r="F7" s="105">
        <v>1</v>
      </c>
      <c r="G7" s="40" t="s">
        <v>104</v>
      </c>
      <c r="H7" s="39" t="s">
        <v>76</v>
      </c>
      <c r="I7" s="131">
        <f>I5-I6</f>
        <v>486.4860000000008</v>
      </c>
      <c r="J7" s="4" t="s">
        <v>172</v>
      </c>
    </row>
    <row r="8" spans="1:8" ht="15" customHeight="1">
      <c r="A8" s="53" t="s">
        <v>7</v>
      </c>
      <c r="B8" s="83" t="s">
        <v>27</v>
      </c>
      <c r="C8" s="94">
        <v>13</v>
      </c>
      <c r="D8" s="40" t="s">
        <v>37</v>
      </c>
      <c r="E8" s="115" t="str">
        <f>E17</f>
        <v>Profit and loss table of FSR</v>
      </c>
      <c r="F8" s="105">
        <v>13</v>
      </c>
      <c r="G8" s="40" t="s">
        <v>37</v>
      </c>
      <c r="H8" s="39" t="str">
        <f>H17</f>
        <v>Profit and loss table of FSR</v>
      </c>
    </row>
    <row r="9" spans="1:8" ht="15" customHeight="1">
      <c r="A9" s="53" t="s">
        <v>8</v>
      </c>
      <c r="B9" s="85" t="s">
        <v>100</v>
      </c>
      <c r="C9" s="94">
        <v>0.42</v>
      </c>
      <c r="D9" s="40" t="s">
        <v>38</v>
      </c>
      <c r="E9" s="115" t="s">
        <v>101</v>
      </c>
      <c r="F9" s="105">
        <v>0.42</v>
      </c>
      <c r="G9" s="40" t="s">
        <v>38</v>
      </c>
      <c r="H9" s="39" t="s">
        <v>101</v>
      </c>
    </row>
    <row r="10" spans="1:9" ht="15" customHeight="1">
      <c r="A10" s="53"/>
      <c r="B10" s="82" t="s">
        <v>39</v>
      </c>
      <c r="C10" s="94"/>
      <c r="D10" s="40"/>
      <c r="E10" s="115"/>
      <c r="F10" s="104"/>
      <c r="G10" s="75"/>
      <c r="H10" s="77"/>
      <c r="I10" s="4" t="s">
        <v>173</v>
      </c>
    </row>
    <row r="11" spans="1:8" ht="15" customHeight="1">
      <c r="A11" s="53"/>
      <c r="B11" s="83" t="s">
        <v>40</v>
      </c>
      <c r="C11" s="96">
        <f>C12+C15</f>
        <v>1117.261256929913</v>
      </c>
      <c r="D11" s="40" t="s">
        <v>16</v>
      </c>
      <c r="E11" s="115"/>
      <c r="F11" s="107">
        <f>F12+F15</f>
        <v>1366.758743070087</v>
      </c>
      <c r="G11" s="40" t="s">
        <v>16</v>
      </c>
      <c r="H11" s="39"/>
    </row>
    <row r="12" spans="1:8" ht="15" customHeight="1">
      <c r="A12" s="53" t="s">
        <v>0</v>
      </c>
      <c r="B12" s="83" t="s">
        <v>87</v>
      </c>
      <c r="C12" s="96">
        <f>C13+C14</f>
        <v>1109.1652260506373</v>
      </c>
      <c r="D12" s="40" t="s">
        <v>16</v>
      </c>
      <c r="E12" s="115"/>
      <c r="F12" s="107">
        <f>F13+F14</f>
        <v>1356.8547739493627</v>
      </c>
      <c r="G12" s="40" t="s">
        <v>16</v>
      </c>
      <c r="H12" s="39"/>
    </row>
    <row r="13" spans="1:8" ht="15" customHeight="1">
      <c r="A13" s="53" t="s">
        <v>41</v>
      </c>
      <c r="B13" s="86" t="s">
        <v>77</v>
      </c>
      <c r="C13" s="97">
        <f>1079.03*(1+C43)</f>
        <v>1079.03</v>
      </c>
      <c r="D13" s="40" t="s">
        <v>16</v>
      </c>
      <c r="E13" s="115" t="s">
        <v>78</v>
      </c>
      <c r="F13" s="108">
        <f>1319.99*(1+C43)</f>
        <v>1319.99</v>
      </c>
      <c r="G13" s="40" t="s">
        <v>16</v>
      </c>
      <c r="H13" s="39" t="s">
        <v>78</v>
      </c>
    </row>
    <row r="14" spans="1:8" ht="45" customHeight="1">
      <c r="A14" s="53" t="s">
        <v>1</v>
      </c>
      <c r="B14" s="86" t="s">
        <v>14</v>
      </c>
      <c r="C14" s="96">
        <f>134*1079.03/4798.04*(1+C43)</f>
        <v>30.135226050637343</v>
      </c>
      <c r="D14" s="40" t="s">
        <v>16</v>
      </c>
      <c r="E14" s="125" t="s">
        <v>165</v>
      </c>
      <c r="F14" s="107">
        <f>134*1319.99/4798.04*(1+C43)</f>
        <v>36.86477394936266</v>
      </c>
      <c r="G14" s="40" t="s">
        <v>16</v>
      </c>
      <c r="H14" s="126" t="s">
        <v>165</v>
      </c>
    </row>
    <row r="15" spans="1:8" ht="45" customHeight="1">
      <c r="A15" s="53" t="s">
        <v>2</v>
      </c>
      <c r="B15" s="83" t="s">
        <v>15</v>
      </c>
      <c r="C15" s="96">
        <f>36*1079.03/4798.04</f>
        <v>8.096030879275705</v>
      </c>
      <c r="D15" s="40" t="s">
        <v>16</v>
      </c>
      <c r="E15" s="125" t="s">
        <v>166</v>
      </c>
      <c r="F15" s="107">
        <f>36*1319.99/4798.04</f>
        <v>9.903969120724296</v>
      </c>
      <c r="G15" s="40" t="s">
        <v>16</v>
      </c>
      <c r="H15" s="126" t="s">
        <v>166</v>
      </c>
    </row>
    <row r="16" spans="1:8" ht="15" customHeight="1">
      <c r="A16" s="53"/>
      <c r="B16" s="82" t="s">
        <v>136</v>
      </c>
      <c r="C16" s="96"/>
      <c r="D16" s="40"/>
      <c r="E16" s="116"/>
      <c r="F16" s="104"/>
      <c r="G16" s="75"/>
      <c r="H16" s="77"/>
    </row>
    <row r="17" spans="1:8" ht="12.75" customHeight="1">
      <c r="A17" s="53" t="s">
        <v>0</v>
      </c>
      <c r="B17" s="83" t="s">
        <v>129</v>
      </c>
      <c r="C17" s="95">
        <v>0.33</v>
      </c>
      <c r="D17" s="40"/>
      <c r="E17" s="115" t="s">
        <v>163</v>
      </c>
      <c r="F17" s="106">
        <v>0.33</v>
      </c>
      <c r="G17" s="40"/>
      <c r="H17" s="77" t="s">
        <v>163</v>
      </c>
    </row>
    <row r="18" spans="1:8" ht="14.25" customHeight="1">
      <c r="A18" s="53" t="s">
        <v>2</v>
      </c>
      <c r="B18" s="87" t="s">
        <v>130</v>
      </c>
      <c r="C18" s="98">
        <v>0.1</v>
      </c>
      <c r="D18" s="75"/>
      <c r="E18" s="115" t="s">
        <v>164</v>
      </c>
      <c r="F18" s="109">
        <v>0.1</v>
      </c>
      <c r="G18" s="75"/>
      <c r="H18" s="77" t="s">
        <v>164</v>
      </c>
    </row>
    <row r="19" spans="1:8" ht="15" customHeight="1">
      <c r="A19" s="53"/>
      <c r="B19" s="82" t="s">
        <v>42</v>
      </c>
      <c r="C19" s="94"/>
      <c r="D19" s="40"/>
      <c r="E19" s="115"/>
      <c r="F19" s="104"/>
      <c r="G19" s="75"/>
      <c r="H19" s="77"/>
    </row>
    <row r="20" spans="1:8" ht="15" customHeight="1">
      <c r="A20" s="53" t="s">
        <v>0</v>
      </c>
      <c r="B20" s="83" t="s">
        <v>96</v>
      </c>
      <c r="C20" s="95">
        <v>0.35</v>
      </c>
      <c r="D20" s="40"/>
      <c r="E20" s="115" t="s">
        <v>98</v>
      </c>
      <c r="F20" s="106">
        <v>0.35</v>
      </c>
      <c r="G20" s="40"/>
      <c r="H20" s="39" t="s">
        <v>98</v>
      </c>
    </row>
    <row r="21" spans="1:8" ht="15" customHeight="1">
      <c r="A21" s="53" t="s">
        <v>2</v>
      </c>
      <c r="B21" s="83" t="s">
        <v>54</v>
      </c>
      <c r="C21" s="99">
        <v>0.0876</v>
      </c>
      <c r="D21" s="40"/>
      <c r="E21" s="115" t="s">
        <v>98</v>
      </c>
      <c r="F21" s="110">
        <v>0.0876</v>
      </c>
      <c r="G21" s="40"/>
      <c r="H21" s="39" t="s">
        <v>98</v>
      </c>
    </row>
    <row r="22" spans="1:8" ht="15" customHeight="1">
      <c r="A22" s="53"/>
      <c r="B22" s="82" t="s">
        <v>17</v>
      </c>
      <c r="C22" s="95"/>
      <c r="D22" s="40"/>
      <c r="E22" s="115"/>
      <c r="F22" s="104"/>
      <c r="G22" s="75"/>
      <c r="H22" s="77"/>
    </row>
    <row r="23" spans="1:8" ht="15" customHeight="1">
      <c r="A23" s="53" t="s">
        <v>0</v>
      </c>
      <c r="B23" s="83" t="s">
        <v>85</v>
      </c>
      <c r="C23" s="100">
        <f>232*0.23</f>
        <v>53.36</v>
      </c>
      <c r="D23" s="40" t="s">
        <v>16</v>
      </c>
      <c r="E23" s="115" t="s">
        <v>174</v>
      </c>
      <c r="F23" s="111">
        <f>309*0.23</f>
        <v>71.07000000000001</v>
      </c>
      <c r="G23" s="40" t="s">
        <v>16</v>
      </c>
      <c r="H23" s="39"/>
    </row>
    <row r="24" spans="1:8" ht="15" customHeight="1">
      <c r="A24" s="53" t="s">
        <v>11</v>
      </c>
      <c r="B24" s="88" t="s">
        <v>80</v>
      </c>
      <c r="C24" s="100">
        <f>0.83*(1+C44)</f>
        <v>0.83</v>
      </c>
      <c r="D24" s="40" t="s">
        <v>16</v>
      </c>
      <c r="E24" s="115" t="s">
        <v>99</v>
      </c>
      <c r="F24" s="111">
        <f>1.11*(1+C44)</f>
        <v>1.11</v>
      </c>
      <c r="G24" s="40" t="s">
        <v>16</v>
      </c>
      <c r="H24" s="39" t="s">
        <v>101</v>
      </c>
    </row>
    <row r="25" spans="1:8" ht="15" customHeight="1">
      <c r="A25" s="53" t="s">
        <v>5</v>
      </c>
      <c r="B25" s="88" t="s">
        <v>72</v>
      </c>
      <c r="C25" s="96">
        <f>(9+12)*(1+C44)</f>
        <v>21</v>
      </c>
      <c r="D25" s="40" t="s">
        <v>16</v>
      </c>
      <c r="E25" s="115" t="s">
        <v>99</v>
      </c>
      <c r="F25" s="107">
        <f>(16+12)*(1+C44)</f>
        <v>28</v>
      </c>
      <c r="G25" s="40" t="s">
        <v>16</v>
      </c>
      <c r="H25" s="39" t="s">
        <v>101</v>
      </c>
    </row>
    <row r="26" spans="1:8" ht="15" customHeight="1">
      <c r="A26" s="53" t="s">
        <v>6</v>
      </c>
      <c r="B26" s="88" t="s">
        <v>18</v>
      </c>
      <c r="C26" s="101">
        <f>16*(1+C44)</f>
        <v>16</v>
      </c>
      <c r="D26" s="40" t="s">
        <v>16</v>
      </c>
      <c r="E26" s="115" t="s">
        <v>99</v>
      </c>
      <c r="F26" s="141">
        <f>16*(1+C44)</f>
        <v>16</v>
      </c>
      <c r="G26" s="40" t="s">
        <v>16</v>
      </c>
      <c r="H26" s="39" t="s">
        <v>183</v>
      </c>
    </row>
    <row r="27" spans="1:8" ht="15" customHeight="1">
      <c r="A27" s="53" t="s">
        <v>7</v>
      </c>
      <c r="B27" s="88" t="s">
        <v>81</v>
      </c>
      <c r="C27" s="100">
        <f>2.24*(1+C44)</f>
        <v>2.24</v>
      </c>
      <c r="D27" s="40" t="s">
        <v>16</v>
      </c>
      <c r="E27" s="115" t="s">
        <v>99</v>
      </c>
      <c r="F27" s="111">
        <f>2.24*(1+C44)</f>
        <v>2.24</v>
      </c>
      <c r="G27" s="40" t="s">
        <v>16</v>
      </c>
      <c r="H27" s="39" t="s">
        <v>101</v>
      </c>
    </row>
    <row r="28" spans="1:8" ht="15" customHeight="1">
      <c r="A28" s="53" t="s">
        <v>8</v>
      </c>
      <c r="B28" s="88" t="s">
        <v>82</v>
      </c>
      <c r="C28" s="96">
        <f>9*(1+C44)</f>
        <v>9</v>
      </c>
      <c r="D28" s="40" t="s">
        <v>16</v>
      </c>
      <c r="E28" s="115" t="s">
        <v>99</v>
      </c>
      <c r="F28" s="107">
        <f>9*(1+C44)</f>
        <v>9</v>
      </c>
      <c r="G28" s="40" t="s">
        <v>16</v>
      </c>
      <c r="H28" s="39" t="s">
        <v>101</v>
      </c>
    </row>
    <row r="29" spans="1:8" ht="15" customHeight="1">
      <c r="A29" s="53" t="s">
        <v>157</v>
      </c>
      <c r="B29" s="83" t="s">
        <v>73</v>
      </c>
      <c r="C29" s="100"/>
      <c r="D29" s="40"/>
      <c r="E29" s="115"/>
      <c r="F29" s="104"/>
      <c r="G29" s="75"/>
      <c r="H29" s="77"/>
    </row>
    <row r="30" spans="1:8" ht="15" customHeight="1">
      <c r="A30" s="53" t="s">
        <v>109</v>
      </c>
      <c r="B30" s="83" t="s">
        <v>106</v>
      </c>
      <c r="C30" s="100"/>
      <c r="D30" s="40"/>
      <c r="E30" s="115"/>
      <c r="F30" s="104"/>
      <c r="G30" s="75"/>
      <c r="H30" s="77"/>
    </row>
    <row r="31" spans="1:8" ht="45" customHeight="1">
      <c r="A31" s="53"/>
      <c r="B31" s="83" t="s">
        <v>107</v>
      </c>
      <c r="C31" s="100">
        <f>266/(266+4666)*C12</f>
        <v>59.821157771587494</v>
      </c>
      <c r="D31" s="40" t="s">
        <v>16</v>
      </c>
      <c r="E31" s="125" t="s">
        <v>167</v>
      </c>
      <c r="F31" s="111">
        <f>266/(266+4666)*F12</f>
        <v>73.17992089832329</v>
      </c>
      <c r="G31" s="40" t="s">
        <v>16</v>
      </c>
      <c r="H31" s="126" t="s">
        <v>167</v>
      </c>
    </row>
    <row r="32" spans="1:8" ht="30" customHeight="1">
      <c r="A32" s="53"/>
      <c r="B32" s="83" t="s">
        <v>103</v>
      </c>
      <c r="C32" s="96">
        <v>40</v>
      </c>
      <c r="D32" s="40" t="s">
        <v>104</v>
      </c>
      <c r="E32" s="115" t="s">
        <v>168</v>
      </c>
      <c r="F32" s="107">
        <v>40</v>
      </c>
      <c r="G32" s="40" t="s">
        <v>104</v>
      </c>
      <c r="H32" s="39" t="s">
        <v>168</v>
      </c>
    </row>
    <row r="33" spans="1:8" ht="30" customHeight="1">
      <c r="A33" s="53"/>
      <c r="B33" s="83" t="s">
        <v>105</v>
      </c>
      <c r="C33" s="95">
        <v>0.05</v>
      </c>
      <c r="D33" s="40"/>
      <c r="E33" s="115" t="s">
        <v>168</v>
      </c>
      <c r="F33" s="106">
        <v>0.05</v>
      </c>
      <c r="G33" s="40"/>
      <c r="H33" s="39" t="s">
        <v>168</v>
      </c>
    </row>
    <row r="34" spans="1:8" ht="15" customHeight="1">
      <c r="A34" s="53" t="s">
        <v>158</v>
      </c>
      <c r="B34" s="83" t="s">
        <v>108</v>
      </c>
      <c r="C34" s="100"/>
      <c r="D34" s="40"/>
      <c r="E34" s="115"/>
      <c r="F34" s="111"/>
      <c r="G34" s="40"/>
      <c r="H34" s="39"/>
    </row>
    <row r="35" spans="1:8" ht="45" customHeight="1">
      <c r="A35" s="53"/>
      <c r="B35" s="83" t="s">
        <v>107</v>
      </c>
      <c r="C35" s="100">
        <f>4666/(266+4666)*C12</f>
        <v>1049.34406827905</v>
      </c>
      <c r="D35" s="40" t="s">
        <v>16</v>
      </c>
      <c r="E35" s="125" t="s">
        <v>167</v>
      </c>
      <c r="F35" s="111">
        <f>4666/(266+4666)*F12</f>
        <v>1283.6748530510395</v>
      </c>
      <c r="G35" s="40" t="s">
        <v>16</v>
      </c>
      <c r="H35" s="126" t="s">
        <v>167</v>
      </c>
    </row>
    <row r="36" spans="1:8" ht="30" customHeight="1">
      <c r="A36" s="53"/>
      <c r="B36" s="83" t="s">
        <v>103</v>
      </c>
      <c r="C36" s="96">
        <v>14</v>
      </c>
      <c r="D36" s="40" t="s">
        <v>104</v>
      </c>
      <c r="E36" s="115" t="s">
        <v>168</v>
      </c>
      <c r="F36" s="107">
        <v>14</v>
      </c>
      <c r="G36" s="40" t="s">
        <v>104</v>
      </c>
      <c r="H36" s="39" t="s">
        <v>168</v>
      </c>
    </row>
    <row r="37" spans="1:8" ht="30" customHeight="1" thickBot="1">
      <c r="A37" s="68"/>
      <c r="B37" s="89" t="s">
        <v>105</v>
      </c>
      <c r="C37" s="102">
        <v>0.03</v>
      </c>
      <c r="D37" s="69"/>
      <c r="E37" s="117" t="s">
        <v>168</v>
      </c>
      <c r="F37" s="112">
        <v>0.03</v>
      </c>
      <c r="G37" s="69"/>
      <c r="H37" s="70" t="s">
        <v>168</v>
      </c>
    </row>
    <row r="38" spans="1:5" ht="15" customHeight="1" thickTop="1">
      <c r="A38" s="71"/>
      <c r="B38" s="72"/>
      <c r="C38" s="73"/>
      <c r="D38" s="72"/>
      <c r="E38" s="72"/>
    </row>
    <row r="39" spans="2:3" ht="15" customHeight="1" thickBot="1">
      <c r="B39" s="8"/>
      <c r="C39" s="57"/>
    </row>
    <row r="40" spans="1:5" ht="15" customHeight="1" thickBot="1" thickTop="1">
      <c r="A40" s="7"/>
      <c r="B40" s="142" t="s">
        <v>43</v>
      </c>
      <c r="C40" s="143"/>
      <c r="D40" s="8"/>
      <c r="E40" s="45" t="s">
        <v>95</v>
      </c>
    </row>
    <row r="41" spans="1:6" ht="15" customHeight="1" thickTop="1">
      <c r="A41" s="7"/>
      <c r="B41" s="46" t="s">
        <v>10</v>
      </c>
      <c r="C41" s="47" t="s">
        <v>44</v>
      </c>
      <c r="D41" s="31">
        <v>-0.1</v>
      </c>
      <c r="E41" s="32">
        <v>0</v>
      </c>
      <c r="F41" s="33">
        <v>0.1</v>
      </c>
    </row>
    <row r="42" spans="1:6" ht="15" customHeight="1">
      <c r="A42" s="7"/>
      <c r="B42" s="46"/>
      <c r="C42" s="47"/>
      <c r="D42" s="129">
        <v>-0.1</v>
      </c>
      <c r="E42" s="32">
        <v>0</v>
      </c>
      <c r="F42" s="130">
        <v>0.1</v>
      </c>
    </row>
    <row r="43" spans="1:6" s="3" customFormat="1" ht="15" customHeight="1">
      <c r="A43" s="7"/>
      <c r="B43" s="48" t="s">
        <v>169</v>
      </c>
      <c r="C43" s="18">
        <v>0</v>
      </c>
      <c r="D43" s="21"/>
      <c r="E43" s="16">
        <f>IRR('Cash Flow (equity）'!C14:P14,-0.1)</f>
        <v>0.05687377330970727</v>
      </c>
      <c r="F43" s="22"/>
    </row>
    <row r="44" spans="1:6" ht="15" customHeight="1">
      <c r="A44" s="6"/>
      <c r="B44" s="49" t="s">
        <v>45</v>
      </c>
      <c r="C44" s="19">
        <v>0</v>
      </c>
      <c r="D44" s="23"/>
      <c r="E44" s="16">
        <f>E43</f>
        <v>0.05687377330970727</v>
      </c>
      <c r="F44" s="24"/>
    </row>
    <row r="45" spans="2:6" ht="15" customHeight="1" thickBot="1">
      <c r="B45" s="50" t="s">
        <v>46</v>
      </c>
      <c r="C45" s="20">
        <v>0</v>
      </c>
      <c r="D45" s="25"/>
      <c r="E45" s="17">
        <f>E43</f>
        <v>0.05687377330970727</v>
      </c>
      <c r="F45" s="26"/>
    </row>
    <row r="46" ht="15" customHeight="1" thickBot="1" thickTop="1"/>
    <row r="47" spans="1:5" s="61" customFormat="1" ht="15" customHeight="1" thickBot="1" thickTop="1">
      <c r="A47" s="60"/>
      <c r="B47" s="124" t="s">
        <v>156</v>
      </c>
      <c r="C47" s="66"/>
      <c r="D47" s="66"/>
      <c r="E47" s="123"/>
    </row>
    <row r="48" ht="13.5" thickTop="1"/>
    <row r="49" spans="3:5" ht="12.75" hidden="1">
      <c r="C49" s="57">
        <v>-0.1</v>
      </c>
      <c r="D49" s="4">
        <v>0</v>
      </c>
      <c r="E49" s="127">
        <v>0.1</v>
      </c>
    </row>
    <row r="50" spans="2:5" ht="12.75" hidden="1">
      <c r="B50" s="48" t="s">
        <v>88</v>
      </c>
      <c r="C50" s="21">
        <v>0.1258</v>
      </c>
      <c r="D50" s="128">
        <v>0.1014</v>
      </c>
      <c r="E50" s="22">
        <v>0.0803</v>
      </c>
    </row>
    <row r="51" spans="2:5" ht="12.75" hidden="1">
      <c r="B51" s="49" t="s">
        <v>45</v>
      </c>
      <c r="C51" s="23">
        <v>0.1077</v>
      </c>
      <c r="D51" s="128">
        <v>0.1014</v>
      </c>
      <c r="E51" s="24">
        <v>0.0951</v>
      </c>
    </row>
    <row r="52" spans="2:5" ht="13.5" hidden="1" thickBot="1">
      <c r="B52" s="50" t="s">
        <v>46</v>
      </c>
      <c r="C52" s="25">
        <v>0.0713</v>
      </c>
      <c r="D52" s="128">
        <v>0.1014</v>
      </c>
      <c r="E52" s="26">
        <v>0.1292</v>
      </c>
    </row>
    <row r="54" ht="12.75">
      <c r="B54" s="57"/>
    </row>
    <row r="57" ht="12.75">
      <c r="B57" s="57"/>
    </row>
    <row r="59" ht="12.75">
      <c r="B59" s="57"/>
    </row>
    <row r="62" ht="12.75">
      <c r="H62" s="4">
        <f>330*24</f>
        <v>7920</v>
      </c>
    </row>
  </sheetData>
  <mergeCells count="2">
    <mergeCell ref="B40:C40"/>
    <mergeCell ref="A1:H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B1">
      <selection activeCell="F22" sqref="F22"/>
    </sheetView>
  </sheetViews>
  <sheetFormatPr defaultColWidth="9.00390625" defaultRowHeight="14.25"/>
  <cols>
    <col min="1" max="1" width="9.00390625" style="55" customWidth="1"/>
    <col min="2" max="2" width="20.375" style="55" customWidth="1"/>
    <col min="3" max="3" width="14.25390625" style="55" customWidth="1"/>
    <col min="4" max="16384" width="9.00390625" style="55" customWidth="1"/>
  </cols>
  <sheetData>
    <row r="1" spans="1:12" ht="30" customHeight="1" thickTop="1">
      <c r="A1" s="154" t="s">
        <v>111</v>
      </c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</row>
    <row r="2" spans="1:12" ht="15" customHeight="1">
      <c r="A2" s="149" t="s">
        <v>9</v>
      </c>
      <c r="B2" s="150" t="s">
        <v>10</v>
      </c>
      <c r="C2" s="62" t="s">
        <v>20</v>
      </c>
      <c r="D2" s="151" t="s">
        <v>27</v>
      </c>
      <c r="E2" s="151"/>
      <c r="F2" s="151"/>
      <c r="G2" s="151"/>
      <c r="H2" s="151"/>
      <c r="I2" s="151"/>
      <c r="J2" s="152"/>
      <c r="K2" s="152"/>
      <c r="L2" s="153"/>
    </row>
    <row r="3" spans="1:12" ht="15" customHeight="1">
      <c r="A3" s="149"/>
      <c r="B3" s="150"/>
      <c r="C3" s="62" t="s">
        <v>29</v>
      </c>
      <c r="D3" s="62" t="s">
        <v>12</v>
      </c>
      <c r="E3" s="62" t="s">
        <v>13</v>
      </c>
      <c r="F3" s="62" t="s">
        <v>21</v>
      </c>
      <c r="G3" s="62" t="s">
        <v>22</v>
      </c>
      <c r="H3" s="62" t="s">
        <v>23</v>
      </c>
      <c r="I3" s="62" t="s">
        <v>24</v>
      </c>
      <c r="J3" s="62" t="s">
        <v>25</v>
      </c>
      <c r="K3" s="62" t="s">
        <v>26</v>
      </c>
      <c r="L3" s="63" t="s">
        <v>110</v>
      </c>
    </row>
    <row r="4" spans="1:12" ht="45" customHeight="1">
      <c r="A4" s="13" t="s">
        <v>0</v>
      </c>
      <c r="B4" s="42" t="s">
        <v>112</v>
      </c>
      <c r="C4" s="15">
        <v>0</v>
      </c>
      <c r="D4" s="15">
        <f>C7+C8-C9</f>
        <v>1602.913</v>
      </c>
      <c r="E4" s="15">
        <f aca="true" t="shared" si="0" ref="E4:L4">D4+D8-D9</f>
        <v>1362.4712024361793</v>
      </c>
      <c r="F4" s="15">
        <f t="shared" si="0"/>
        <v>1109.3285958880044</v>
      </c>
      <c r="G4" s="15">
        <f t="shared" si="0"/>
        <v>842.8142880626567</v>
      </c>
      <c r="H4" s="15">
        <f t="shared" si="0"/>
        <v>562.2219482579122</v>
      </c>
      <c r="I4" s="15">
        <f t="shared" si="0"/>
        <v>266.8079354061297</v>
      </c>
      <c r="J4" s="15">
        <f t="shared" si="0"/>
        <v>-44.21067276372003</v>
      </c>
      <c r="K4" s="15">
        <f t="shared" si="0"/>
        <v>-369.32282314394064</v>
      </c>
      <c r="L4" s="64">
        <f t="shared" si="0"/>
        <v>-694.4349735241613</v>
      </c>
    </row>
    <row r="5" spans="1:12" ht="15" customHeight="1">
      <c r="A5" s="11" t="s">
        <v>41</v>
      </c>
      <c r="B5" s="40" t="s">
        <v>113</v>
      </c>
      <c r="C5" s="14">
        <v>0</v>
      </c>
      <c r="D5" s="14">
        <f>C7-C11</f>
        <v>1535.913</v>
      </c>
      <c r="E5" s="14">
        <f>D5+D6-D11</f>
        <v>1362.4712024361793</v>
      </c>
      <c r="F5" s="14">
        <f aca="true" t="shared" si="1" ref="F5:L5">E5-E11</f>
        <v>1109.3285958880044</v>
      </c>
      <c r="G5" s="14">
        <f t="shared" si="1"/>
        <v>842.8142880626567</v>
      </c>
      <c r="H5" s="14">
        <f t="shared" si="1"/>
        <v>562.2219482579122</v>
      </c>
      <c r="I5" s="14">
        <f t="shared" si="1"/>
        <v>266.8079354061297</v>
      </c>
      <c r="J5" s="14">
        <f t="shared" si="1"/>
        <v>-44.21067276372003</v>
      </c>
      <c r="K5" s="14">
        <f t="shared" si="1"/>
        <v>-369.32282314394064</v>
      </c>
      <c r="L5" s="65">
        <f t="shared" si="1"/>
        <v>-694.4349735241613</v>
      </c>
    </row>
    <row r="6" spans="1:12" ht="30" customHeight="1">
      <c r="A6" s="11" t="s">
        <v>1</v>
      </c>
      <c r="B6" s="40" t="s">
        <v>114</v>
      </c>
      <c r="C6" s="14">
        <v>0</v>
      </c>
      <c r="D6" s="14">
        <f>C8</f>
        <v>67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65">
        <v>0</v>
      </c>
    </row>
    <row r="7" spans="1:12" ht="15" customHeight="1">
      <c r="A7" s="13" t="s">
        <v>2</v>
      </c>
      <c r="B7" s="42" t="s">
        <v>115</v>
      </c>
      <c r="C7" s="15">
        <f>'Capital Raising'!C9+'Capital Raising'!D9</f>
        <v>1535.913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64">
        <v>0</v>
      </c>
    </row>
    <row r="8" spans="1:12" ht="15" customHeight="1">
      <c r="A8" s="13" t="s">
        <v>116</v>
      </c>
      <c r="B8" s="42" t="s">
        <v>117</v>
      </c>
      <c r="C8" s="15">
        <f>'Capital Raising'!C10+'Capital Raising'!D10</f>
        <v>67</v>
      </c>
      <c r="D8" s="15">
        <f>D4*'Basic Parameters'!$C$21</f>
        <v>140.4151788</v>
      </c>
      <c r="E8" s="15">
        <f>E4*'Basic Parameters'!$C$21</f>
        <v>119.3524773334093</v>
      </c>
      <c r="F8" s="15">
        <f>F4*'Basic Parameters'!$C$21</f>
        <v>97.17718499978919</v>
      </c>
      <c r="G8" s="15">
        <f>G4*'Basic Parameters'!$C$21</f>
        <v>73.83053163428873</v>
      </c>
      <c r="H8" s="15">
        <f>H4*'Basic Parameters'!$C$21</f>
        <v>49.25064266739311</v>
      </c>
      <c r="I8" s="15">
        <f>I4*'Basic Parameters'!$C$21</f>
        <v>23.37237514157696</v>
      </c>
      <c r="J8" s="15">
        <f>J4*'Basic Parameters'!$C$21</f>
        <v>-3.8728549341018743</v>
      </c>
      <c r="K8" s="15">
        <f>K4*'Basic Parameters'!$C$21</f>
        <v>-32.3526793074092</v>
      </c>
      <c r="L8" s="64">
        <f>L4*'Basic Parameters'!$C$21</f>
        <v>-60.83250368071652</v>
      </c>
    </row>
    <row r="9" spans="1:12" ht="30" customHeight="1">
      <c r="A9" s="13" t="s">
        <v>118</v>
      </c>
      <c r="B9" s="42" t="s">
        <v>119</v>
      </c>
      <c r="C9" s="15">
        <v>0</v>
      </c>
      <c r="D9" s="15">
        <f aca="true" t="shared" si="2" ref="D9:I9">D11+D10</f>
        <v>380.85697636382065</v>
      </c>
      <c r="E9" s="15">
        <f t="shared" si="2"/>
        <v>372.4950838815841</v>
      </c>
      <c r="F9" s="15">
        <f t="shared" si="2"/>
        <v>363.6914928251369</v>
      </c>
      <c r="G9" s="15">
        <f t="shared" si="2"/>
        <v>354.4228714390332</v>
      </c>
      <c r="H9" s="15">
        <f t="shared" si="2"/>
        <v>344.66465551917565</v>
      </c>
      <c r="I9" s="15">
        <f t="shared" si="2"/>
        <v>334.3909833114267</v>
      </c>
      <c r="J9" s="15">
        <f>J11+J10</f>
        <v>321.2392954461187</v>
      </c>
      <c r="K9" s="15">
        <f>K11+K10</f>
        <v>292.75947107281144</v>
      </c>
      <c r="L9" s="64">
        <f>L11+L10</f>
        <v>264.2796466995041</v>
      </c>
    </row>
    <row r="10" spans="1:12" ht="15" customHeight="1">
      <c r="A10" s="11" t="s">
        <v>120</v>
      </c>
      <c r="B10" s="40" t="s">
        <v>162</v>
      </c>
      <c r="C10" s="14">
        <v>0</v>
      </c>
      <c r="D10" s="14">
        <f aca="true" t="shared" si="3" ref="D10:I10">D8</f>
        <v>140.4151788</v>
      </c>
      <c r="E10" s="14">
        <f t="shared" si="3"/>
        <v>119.3524773334093</v>
      </c>
      <c r="F10" s="14">
        <f t="shared" si="3"/>
        <v>97.17718499978919</v>
      </c>
      <c r="G10" s="14">
        <f t="shared" si="3"/>
        <v>73.83053163428873</v>
      </c>
      <c r="H10" s="14">
        <f t="shared" si="3"/>
        <v>49.25064266739311</v>
      </c>
      <c r="I10" s="14">
        <f t="shared" si="3"/>
        <v>23.37237514157696</v>
      </c>
      <c r="J10" s="14">
        <f>J8</f>
        <v>-3.8728549341018743</v>
      </c>
      <c r="K10" s="14">
        <f>K8</f>
        <v>-32.3526793074092</v>
      </c>
      <c r="L10" s="65">
        <f>L8</f>
        <v>-60.83250368071652</v>
      </c>
    </row>
    <row r="11" spans="1:12" ht="15" customHeight="1" thickBot="1">
      <c r="A11" s="12" t="s">
        <v>121</v>
      </c>
      <c r="B11" s="69" t="s">
        <v>161</v>
      </c>
      <c r="C11" s="67">
        <v>0</v>
      </c>
      <c r="D11" s="67">
        <f>'Total Cost and Expense'!D10+'Profit and Loss'!D16</f>
        <v>240.44179756382061</v>
      </c>
      <c r="E11" s="67">
        <f>'Total Cost and Expense'!E10+'Profit and Loss'!E16</f>
        <v>253.1426065481748</v>
      </c>
      <c r="F11" s="67">
        <f>'Total Cost and Expense'!F10+'Profit and Loss'!F16</f>
        <v>266.5143078253477</v>
      </c>
      <c r="G11" s="67">
        <f>'Total Cost and Expense'!G10+'Profit and Loss'!G16</f>
        <v>280.5923398047445</v>
      </c>
      <c r="H11" s="67">
        <f>'Total Cost and Expense'!H10+'Profit and Loss'!H16</f>
        <v>295.41401285178256</v>
      </c>
      <c r="I11" s="67">
        <f>'Total Cost and Expense'!I10+'Profit and Loss'!I16</f>
        <v>311.0186081698497</v>
      </c>
      <c r="J11" s="67">
        <f>'Total Cost and Expense'!J10+'Profit and Loss'!J16</f>
        <v>325.1121503802206</v>
      </c>
      <c r="K11" s="67">
        <f>'Total Cost and Expense'!K10+'Profit and Loss'!K16</f>
        <v>325.1121503802206</v>
      </c>
      <c r="L11" s="81">
        <f>'Total Cost and Expense'!L10+'Profit and Loss'!L16</f>
        <v>325.1121503802206</v>
      </c>
    </row>
    <row r="12" ht="16.5" thickTop="1"/>
    <row r="13" ht="15.75">
      <c r="C13" s="74"/>
    </row>
    <row r="17" ht="15.75">
      <c r="D17" s="74"/>
    </row>
    <row r="18" ht="15.75">
      <c r="D18" s="74"/>
    </row>
  </sheetData>
  <mergeCells count="4">
    <mergeCell ref="A2:A3"/>
    <mergeCell ref="B2:B3"/>
    <mergeCell ref="D2:L2"/>
    <mergeCell ref="A1:L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D1">
      <selection activeCell="L15" sqref="L15"/>
    </sheetView>
  </sheetViews>
  <sheetFormatPr defaultColWidth="9.00390625" defaultRowHeight="14.25"/>
  <cols>
    <col min="1" max="1" width="4.75390625" style="37" customWidth="1"/>
    <col min="2" max="2" width="19.00390625" style="38" customWidth="1"/>
    <col min="3" max="3" width="14.125" style="35" customWidth="1"/>
    <col min="4" max="4" width="10.25390625" style="35" customWidth="1"/>
    <col min="5" max="16384" width="9.00390625" style="35" customWidth="1"/>
  </cols>
  <sheetData>
    <row r="1" spans="1:16" ht="30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2"/>
      <c r="M1" s="152"/>
      <c r="N1" s="152"/>
      <c r="O1" s="152"/>
      <c r="P1" s="152"/>
    </row>
    <row r="2" spans="1:16" ht="14.25">
      <c r="A2" s="158" t="s">
        <v>9</v>
      </c>
      <c r="B2" s="150" t="s">
        <v>10</v>
      </c>
      <c r="C2" s="62" t="s">
        <v>20</v>
      </c>
      <c r="D2" s="151" t="s">
        <v>27</v>
      </c>
      <c r="E2" s="160"/>
      <c r="F2" s="160"/>
      <c r="G2" s="160"/>
      <c r="H2" s="160"/>
      <c r="I2" s="160"/>
      <c r="J2" s="160"/>
      <c r="K2" s="160"/>
      <c r="L2" s="152"/>
      <c r="M2" s="152"/>
      <c r="N2" s="152"/>
      <c r="O2" s="152"/>
      <c r="P2" s="152"/>
    </row>
    <row r="3" spans="1:16" ht="14.25">
      <c r="A3" s="158"/>
      <c r="B3" s="150"/>
      <c r="C3" s="62" t="s">
        <v>29</v>
      </c>
      <c r="D3" s="62" t="s">
        <v>12</v>
      </c>
      <c r="E3" s="62" t="s">
        <v>13</v>
      </c>
      <c r="F3" s="62" t="s">
        <v>21</v>
      </c>
      <c r="G3" s="62" t="s">
        <v>22</v>
      </c>
      <c r="H3" s="62" t="s">
        <v>23</v>
      </c>
      <c r="I3" s="62" t="s">
        <v>24</v>
      </c>
      <c r="J3" s="62" t="s">
        <v>25</v>
      </c>
      <c r="K3" s="62" t="s">
        <v>26</v>
      </c>
      <c r="L3" s="62" t="s">
        <v>110</v>
      </c>
      <c r="M3" s="62" t="s">
        <v>175</v>
      </c>
      <c r="N3" s="62" t="s">
        <v>176</v>
      </c>
      <c r="O3" s="62" t="s">
        <v>177</v>
      </c>
      <c r="P3" s="62" t="s">
        <v>178</v>
      </c>
    </row>
    <row r="4" spans="1:16" ht="25.5">
      <c r="A4" s="133"/>
      <c r="B4" s="40" t="s">
        <v>89</v>
      </c>
      <c r="C4" s="27">
        <v>0</v>
      </c>
      <c r="D4" s="27">
        <f>'Basic Parameters'!C5*(1-'Basic Parameters'!C6)/10+'Basic Parameters'!F5*(1-'Basic Parameters'!F6)/10</f>
        <v>1572.6314781029546</v>
      </c>
      <c r="E4" s="27">
        <f>'Basic Parameters'!C5*(1-'Basic Parameters'!C6)/10+'Basic Parameters'!F5*(1-'Basic Parameters'!F6)/10</f>
        <v>1572.6314781029546</v>
      </c>
      <c r="F4" s="27">
        <f>'Basic Parameters'!C5*(1-'Basic Parameters'!C6)/10+'Basic Parameters'!F5*(1-'Basic Parameters'!F6)/10</f>
        <v>1572.6314781029546</v>
      </c>
      <c r="G4" s="27">
        <f>'Basic Parameters'!C5*(1-'Basic Parameters'!C6)/10+'Basic Parameters'!F5*(1-'Basic Parameters'!F6)/10</f>
        <v>1572.6314781029546</v>
      </c>
      <c r="H4" s="27">
        <f>'Basic Parameters'!C5*(1-'Basic Parameters'!C6)/10+'Basic Parameters'!F5*(1-'Basic Parameters'!F6)/10</f>
        <v>1572.6314781029546</v>
      </c>
      <c r="I4" s="27">
        <f>'Basic Parameters'!C5*(1-'Basic Parameters'!C6)/10+'Basic Parameters'!F5*(1-'Basic Parameters'!F6)/10</f>
        <v>1572.6314781029546</v>
      </c>
      <c r="J4" s="27">
        <f>'Basic Parameters'!$C$5*(1-'Basic Parameters'!$C$6)/10+'Basic Parameters'!$F$5*(1-'Basic Parameters'!$F$6)/10</f>
        <v>1572.6314781029546</v>
      </c>
      <c r="K4" s="27">
        <f>'Basic Parameters'!$C$5*(1-'Basic Parameters'!$C$6)/10+'Basic Parameters'!$F$5*(1-'Basic Parameters'!$F$6)/10</f>
        <v>1572.6314781029546</v>
      </c>
      <c r="L4" s="27">
        <f>'Basic Parameters'!$C$5*(1-'Basic Parameters'!$C$6)/10+'Basic Parameters'!$F$5*(1-'Basic Parameters'!$F$6)/10</f>
        <v>1572.6314781029546</v>
      </c>
      <c r="M4" s="27">
        <f>'Basic Parameters'!$C$5*(1-'Basic Parameters'!$C$6)/10+'Basic Parameters'!$F$5*(1-'Basic Parameters'!$F$6)/10</f>
        <v>1572.6314781029546</v>
      </c>
      <c r="N4" s="27">
        <f>'Basic Parameters'!$C$5*(1-'Basic Parameters'!$C$6)/10+'Basic Parameters'!$F$5*(1-'Basic Parameters'!$F$6)/10</f>
        <v>1572.6314781029546</v>
      </c>
      <c r="O4" s="27">
        <f>'Basic Parameters'!$C$5*(1-'Basic Parameters'!$C$6)/10+'Basic Parameters'!$F$5*(1-'Basic Parameters'!$F$6)/10</f>
        <v>1572.6314781029546</v>
      </c>
      <c r="P4" s="27">
        <f>'Basic Parameters'!$C$5*(1-'Basic Parameters'!$C$6)/10+'Basic Parameters'!$F$5*(1-'Basic Parameters'!$F$6)/10</f>
        <v>1572.6314781029546</v>
      </c>
    </row>
    <row r="5" spans="1:16" ht="14.25">
      <c r="A5" s="133" t="s">
        <v>0</v>
      </c>
      <c r="B5" s="40" t="s">
        <v>84</v>
      </c>
      <c r="C5" s="27">
        <v>0</v>
      </c>
      <c r="D5" s="27">
        <f>'Basic Parameters'!C23+'Basic Parameters'!F23</f>
        <v>124.43</v>
      </c>
      <c r="E5" s="27">
        <f aca="true" t="shared" si="0" ref="E5:E10">D5</f>
        <v>124.43</v>
      </c>
      <c r="F5" s="27">
        <f aca="true" t="shared" si="1" ref="F5:P5">E5</f>
        <v>124.43</v>
      </c>
      <c r="G5" s="27">
        <f t="shared" si="1"/>
        <v>124.43</v>
      </c>
      <c r="H5" s="27">
        <f t="shared" si="1"/>
        <v>124.43</v>
      </c>
      <c r="I5" s="27">
        <f t="shared" si="1"/>
        <v>124.43</v>
      </c>
      <c r="J5" s="27">
        <f t="shared" si="1"/>
        <v>124.43</v>
      </c>
      <c r="K5" s="27">
        <f t="shared" si="1"/>
        <v>124.43</v>
      </c>
      <c r="L5" s="27">
        <f t="shared" si="1"/>
        <v>124.43</v>
      </c>
      <c r="M5" s="27">
        <f t="shared" si="1"/>
        <v>124.43</v>
      </c>
      <c r="N5" s="27">
        <f t="shared" si="1"/>
        <v>124.43</v>
      </c>
      <c r="O5" s="27">
        <f t="shared" si="1"/>
        <v>124.43</v>
      </c>
      <c r="P5" s="27">
        <f t="shared" si="1"/>
        <v>124.43</v>
      </c>
    </row>
    <row r="6" spans="1:16" ht="14.25">
      <c r="A6" s="133" t="s">
        <v>11</v>
      </c>
      <c r="B6" s="40" t="s">
        <v>79</v>
      </c>
      <c r="C6" s="27">
        <v>0</v>
      </c>
      <c r="D6" s="27">
        <f>'Basic Parameters'!C24+'Basic Parameters'!F24</f>
        <v>1.94</v>
      </c>
      <c r="E6" s="27">
        <f t="shared" si="0"/>
        <v>1.94</v>
      </c>
      <c r="F6" s="27">
        <f aca="true" t="shared" si="2" ref="F6:P10">E6</f>
        <v>1.94</v>
      </c>
      <c r="G6" s="27">
        <f t="shared" si="2"/>
        <v>1.94</v>
      </c>
      <c r="H6" s="27">
        <f t="shared" si="2"/>
        <v>1.94</v>
      </c>
      <c r="I6" s="27">
        <f t="shared" si="2"/>
        <v>1.94</v>
      </c>
      <c r="J6" s="27">
        <f t="shared" si="2"/>
        <v>1.94</v>
      </c>
      <c r="K6" s="27">
        <f t="shared" si="2"/>
        <v>1.94</v>
      </c>
      <c r="L6" s="27">
        <f t="shared" si="2"/>
        <v>1.94</v>
      </c>
      <c r="M6" s="27">
        <f t="shared" si="2"/>
        <v>1.94</v>
      </c>
      <c r="N6" s="27">
        <f t="shared" si="2"/>
        <v>1.94</v>
      </c>
      <c r="O6" s="27">
        <f t="shared" si="2"/>
        <v>1.94</v>
      </c>
      <c r="P6" s="27">
        <f t="shared" si="2"/>
        <v>1.94</v>
      </c>
    </row>
    <row r="7" spans="1:16" ht="14.25">
      <c r="A7" s="133" t="s">
        <v>5</v>
      </c>
      <c r="B7" s="40" t="s">
        <v>90</v>
      </c>
      <c r="C7" s="27">
        <v>0</v>
      </c>
      <c r="D7" s="27">
        <f>'Basic Parameters'!C25+'Basic Parameters'!F25</f>
        <v>49</v>
      </c>
      <c r="E7" s="27">
        <f t="shared" si="0"/>
        <v>49</v>
      </c>
      <c r="F7" s="27">
        <f t="shared" si="2"/>
        <v>49</v>
      </c>
      <c r="G7" s="27">
        <f t="shared" si="2"/>
        <v>49</v>
      </c>
      <c r="H7" s="27">
        <f t="shared" si="2"/>
        <v>49</v>
      </c>
      <c r="I7" s="27">
        <f t="shared" si="2"/>
        <v>49</v>
      </c>
      <c r="J7" s="27">
        <f t="shared" si="2"/>
        <v>49</v>
      </c>
      <c r="K7" s="27">
        <f t="shared" si="2"/>
        <v>49</v>
      </c>
      <c r="L7" s="27">
        <f t="shared" si="2"/>
        <v>49</v>
      </c>
      <c r="M7" s="27">
        <v>506</v>
      </c>
      <c r="N7" s="27">
        <f t="shared" si="2"/>
        <v>506</v>
      </c>
      <c r="O7" s="27">
        <f t="shared" si="2"/>
        <v>506</v>
      </c>
      <c r="P7" s="27">
        <f t="shared" si="2"/>
        <v>506</v>
      </c>
    </row>
    <row r="8" spans="1:16" ht="25.5">
      <c r="A8" s="133" t="s">
        <v>6</v>
      </c>
      <c r="B8" s="40" t="s">
        <v>91</v>
      </c>
      <c r="C8" s="27">
        <v>0</v>
      </c>
      <c r="D8" s="27">
        <f>'Basic Parameters'!C26+'Basic Parameters'!C27+'Basic Parameters'!F26+'Basic Parameters'!F27</f>
        <v>36.480000000000004</v>
      </c>
      <c r="E8" s="27">
        <f t="shared" si="0"/>
        <v>36.480000000000004</v>
      </c>
      <c r="F8" s="27">
        <f t="shared" si="2"/>
        <v>36.480000000000004</v>
      </c>
      <c r="G8" s="27">
        <f t="shared" si="2"/>
        <v>36.480000000000004</v>
      </c>
      <c r="H8" s="27">
        <f t="shared" si="2"/>
        <v>36.480000000000004</v>
      </c>
      <c r="I8" s="27">
        <f t="shared" si="2"/>
        <v>36.480000000000004</v>
      </c>
      <c r="J8" s="27">
        <f t="shared" si="2"/>
        <v>36.480000000000004</v>
      </c>
      <c r="K8" s="27">
        <f t="shared" si="2"/>
        <v>36.480000000000004</v>
      </c>
      <c r="L8" s="27">
        <f t="shared" si="2"/>
        <v>36.480000000000004</v>
      </c>
      <c r="M8" s="27">
        <f t="shared" si="2"/>
        <v>36.480000000000004</v>
      </c>
      <c r="N8" s="27">
        <f t="shared" si="2"/>
        <v>36.480000000000004</v>
      </c>
      <c r="O8" s="27">
        <f t="shared" si="2"/>
        <v>36.480000000000004</v>
      </c>
      <c r="P8" s="27">
        <f t="shared" si="2"/>
        <v>36.480000000000004</v>
      </c>
    </row>
    <row r="9" spans="1:16" ht="14.25">
      <c r="A9" s="133" t="s">
        <v>7</v>
      </c>
      <c r="B9" s="40" t="s">
        <v>92</v>
      </c>
      <c r="C9" s="27">
        <v>0</v>
      </c>
      <c r="D9" s="27">
        <f>'Basic Parameters'!C28+'Basic Parameters'!F28</f>
        <v>18</v>
      </c>
      <c r="E9" s="27">
        <f t="shared" si="0"/>
        <v>18</v>
      </c>
      <c r="F9" s="27">
        <f t="shared" si="2"/>
        <v>18</v>
      </c>
      <c r="G9" s="27">
        <f t="shared" si="2"/>
        <v>18</v>
      </c>
      <c r="H9" s="27">
        <f t="shared" si="2"/>
        <v>18</v>
      </c>
      <c r="I9" s="27">
        <f t="shared" si="2"/>
        <v>18</v>
      </c>
      <c r="J9" s="27">
        <f t="shared" si="2"/>
        <v>18</v>
      </c>
      <c r="K9" s="27">
        <f t="shared" si="2"/>
        <v>18</v>
      </c>
      <c r="L9" s="27">
        <f t="shared" si="2"/>
        <v>18</v>
      </c>
      <c r="M9" s="27">
        <f t="shared" si="2"/>
        <v>18</v>
      </c>
      <c r="N9" s="27">
        <f t="shared" si="2"/>
        <v>18</v>
      </c>
      <c r="O9" s="27">
        <f t="shared" si="2"/>
        <v>18</v>
      </c>
      <c r="P9" s="27">
        <f t="shared" si="2"/>
        <v>18</v>
      </c>
    </row>
    <row r="10" spans="1:16" ht="14.25">
      <c r="A10" s="133" t="s">
        <v>8</v>
      </c>
      <c r="B10" s="40" t="s">
        <v>93</v>
      </c>
      <c r="C10" s="27">
        <v>0</v>
      </c>
      <c r="D10" s="27">
        <f>'Basic Parameters'!C31*(1-'Basic Parameters'!C33)/'Basic Parameters'!C32+'Basic Parameters'!C35*(1-'Basic Parameters'!C37)/'Basic Parameters'!C36+'Basic Parameters'!F31*(1-'Basic Parameters'!F33)/'Basic Parameters'!F32+'Basic Parameters'!F35*(1-'Basic Parameters'!F37)/'Basic Parameters'!F36</f>
        <v>164.80365802485227</v>
      </c>
      <c r="E10" s="27">
        <f t="shared" si="0"/>
        <v>164.80365802485227</v>
      </c>
      <c r="F10" s="27">
        <f t="shared" si="2"/>
        <v>164.80365802485227</v>
      </c>
      <c r="G10" s="27">
        <f t="shared" si="2"/>
        <v>164.80365802485227</v>
      </c>
      <c r="H10" s="27">
        <f t="shared" si="2"/>
        <v>164.80365802485227</v>
      </c>
      <c r="I10" s="27">
        <f t="shared" si="2"/>
        <v>164.80365802485227</v>
      </c>
      <c r="J10" s="27">
        <f t="shared" si="2"/>
        <v>164.80365802485227</v>
      </c>
      <c r="K10" s="27">
        <f t="shared" si="2"/>
        <v>164.80365802485227</v>
      </c>
      <c r="L10" s="27">
        <f t="shared" si="2"/>
        <v>164.80365802485227</v>
      </c>
      <c r="M10" s="27">
        <f t="shared" si="2"/>
        <v>164.80365802485227</v>
      </c>
      <c r="N10" s="27">
        <f t="shared" si="2"/>
        <v>164.80365802485227</v>
      </c>
      <c r="O10" s="27">
        <f t="shared" si="2"/>
        <v>164.80365802485227</v>
      </c>
      <c r="P10" s="27">
        <f t="shared" si="2"/>
        <v>164.80365802485227</v>
      </c>
    </row>
    <row r="11" spans="1:16" ht="14.25">
      <c r="A11" s="133" t="s">
        <v>86</v>
      </c>
      <c r="B11" s="40" t="s">
        <v>54</v>
      </c>
      <c r="C11" s="27">
        <v>0</v>
      </c>
      <c r="D11" s="27">
        <f>MAX(0,'Loan and Payment'!D10)</f>
        <v>140.4151788</v>
      </c>
      <c r="E11" s="27">
        <f>MAX(0,'Loan and Payment'!E10)</f>
        <v>119.3524773334093</v>
      </c>
      <c r="F11" s="27">
        <f>MAX(0,'Loan and Payment'!F10)</f>
        <v>97.17718499978919</v>
      </c>
      <c r="G11" s="27">
        <f>MAX(0,'Loan and Payment'!G10)</f>
        <v>73.83053163428873</v>
      </c>
      <c r="H11" s="27">
        <f>MAX(0,'Loan and Payment'!H10)</f>
        <v>49.25064266739311</v>
      </c>
      <c r="I11" s="27">
        <f>MAX(0,'Loan and Payment'!I10)</f>
        <v>23.37237514157696</v>
      </c>
      <c r="J11" s="27">
        <f>MAX(0,'Loan and Payment'!J10)</f>
        <v>0</v>
      </c>
      <c r="K11" s="27">
        <f>MAX(0,'Loan and Payment'!K10)</f>
        <v>0</v>
      </c>
      <c r="L11" s="27">
        <f>MAX(0,'Loan and Payment'!L10)</f>
        <v>0</v>
      </c>
      <c r="M11" s="9">
        <v>0</v>
      </c>
      <c r="N11" s="9">
        <v>0</v>
      </c>
      <c r="O11" s="9">
        <v>0</v>
      </c>
      <c r="P11" s="9">
        <v>0</v>
      </c>
    </row>
    <row r="12" spans="1:16" ht="14.25">
      <c r="A12" s="133"/>
      <c r="B12" s="42" t="s">
        <v>59</v>
      </c>
      <c r="C12" s="36">
        <v>0</v>
      </c>
      <c r="D12" s="36">
        <f>SUM(D5:D11)</f>
        <v>535.0688368248523</v>
      </c>
      <c r="E12" s="36">
        <f aca="true" t="shared" si="3" ref="E12:L12">SUM(E5:E11)</f>
        <v>514.0061353582616</v>
      </c>
      <c r="F12" s="36">
        <f t="shared" si="3"/>
        <v>491.83084302464147</v>
      </c>
      <c r="G12" s="36">
        <f t="shared" si="3"/>
        <v>468.484189659141</v>
      </c>
      <c r="H12" s="36">
        <f t="shared" si="3"/>
        <v>443.9043006922454</v>
      </c>
      <c r="I12" s="36">
        <f t="shared" si="3"/>
        <v>418.0260331664293</v>
      </c>
      <c r="J12" s="36">
        <f t="shared" si="3"/>
        <v>394.6536580248523</v>
      </c>
      <c r="K12" s="36">
        <f t="shared" si="3"/>
        <v>394.6536580248523</v>
      </c>
      <c r="L12" s="36">
        <f t="shared" si="3"/>
        <v>394.6536580248523</v>
      </c>
      <c r="M12" s="36">
        <f>SUM(M5:M11)</f>
        <v>851.6536580248523</v>
      </c>
      <c r="N12" s="36">
        <f>SUM(N5:N11)</f>
        <v>851.6536580248523</v>
      </c>
      <c r="O12" s="36">
        <f>SUM(O5:O11)</f>
        <v>851.6536580248523</v>
      </c>
      <c r="P12" s="36">
        <f>SUM(P5:P11)</f>
        <v>851.6536580248523</v>
      </c>
    </row>
    <row r="13" spans="1:16" ht="14.25">
      <c r="A13" s="133"/>
      <c r="B13" s="42" t="s">
        <v>94</v>
      </c>
      <c r="C13" s="36">
        <v>0</v>
      </c>
      <c r="D13" s="36">
        <f>SUM(D5:D9)</f>
        <v>229.85000000000002</v>
      </c>
      <c r="E13" s="36">
        <f aca="true" t="shared" si="4" ref="E13:K13">SUM(E5:E9)</f>
        <v>229.85000000000002</v>
      </c>
      <c r="F13" s="36">
        <f t="shared" si="4"/>
        <v>229.85000000000002</v>
      </c>
      <c r="G13" s="36">
        <f t="shared" si="4"/>
        <v>229.85000000000002</v>
      </c>
      <c r="H13" s="36">
        <f t="shared" si="4"/>
        <v>229.85000000000002</v>
      </c>
      <c r="I13" s="36">
        <f t="shared" si="4"/>
        <v>229.85000000000002</v>
      </c>
      <c r="J13" s="36">
        <f t="shared" si="4"/>
        <v>229.85000000000002</v>
      </c>
      <c r="K13" s="36">
        <f t="shared" si="4"/>
        <v>229.85000000000002</v>
      </c>
      <c r="L13" s="36">
        <f>SUM(L5:L9)</f>
        <v>229.85000000000002</v>
      </c>
      <c r="M13" s="36">
        <f>SUM(M5:M9)</f>
        <v>686.85</v>
      </c>
      <c r="N13" s="36">
        <f>SUM(N5:N9)</f>
        <v>686.85</v>
      </c>
      <c r="O13" s="36">
        <f>SUM(O5:O9)</f>
        <v>686.85</v>
      </c>
      <c r="P13" s="36">
        <f>SUM(P5:P9)</f>
        <v>686.85</v>
      </c>
    </row>
    <row r="16" spans="3:5" ht="14.25">
      <c r="C16" s="138" t="s">
        <v>179</v>
      </c>
      <c r="D16" s="140">
        <f>(SUM(D6:D9)/3.5)*10000</f>
        <v>301200</v>
      </c>
      <c r="E16" s="35" t="s">
        <v>180</v>
      </c>
    </row>
    <row r="17" spans="4:5" ht="14.25">
      <c r="D17" s="140">
        <f>26240000/(90)</f>
        <v>291555.55555555556</v>
      </c>
      <c r="E17" s="35" t="s">
        <v>181</v>
      </c>
    </row>
    <row r="18" spans="4:5" ht="14.25">
      <c r="D18" s="140">
        <f>(1081250*8)/12</f>
        <v>720833.3333333334</v>
      </c>
      <c r="E18" s="35" t="s">
        <v>182</v>
      </c>
    </row>
    <row r="24" ht="14.25">
      <c r="D24" s="139"/>
    </row>
  </sheetData>
  <mergeCells count="4">
    <mergeCell ref="B2:B3"/>
    <mergeCell ref="A2:A3"/>
    <mergeCell ref="A1:P1"/>
    <mergeCell ref="D2:P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4" sqref="E4"/>
    </sheetView>
  </sheetViews>
  <sheetFormatPr defaultColWidth="9.00390625" defaultRowHeight="14.25"/>
  <cols>
    <col min="2" max="2" width="18.375" style="0" bestFit="1" customWidth="1"/>
    <col min="3" max="3" width="9.00390625" style="2" customWidth="1"/>
    <col min="6" max="6" width="20.625" style="0" customWidth="1"/>
  </cols>
  <sheetData>
    <row r="1" spans="1:5" ht="30" customHeight="1" thickTop="1">
      <c r="A1" s="154" t="s">
        <v>47</v>
      </c>
      <c r="B1" s="161"/>
      <c r="C1" s="161"/>
      <c r="D1" s="161"/>
      <c r="E1" s="162"/>
    </row>
    <row r="2" spans="1:5" ht="14.25">
      <c r="A2" s="76" t="s">
        <v>137</v>
      </c>
      <c r="B2" s="62" t="s">
        <v>138</v>
      </c>
      <c r="C2" s="80" t="s">
        <v>139</v>
      </c>
      <c r="D2" s="80" t="s">
        <v>140</v>
      </c>
      <c r="E2" s="63" t="s">
        <v>141</v>
      </c>
    </row>
    <row r="3" spans="1:5" ht="14.25">
      <c r="A3" s="11"/>
      <c r="B3" s="9" t="s">
        <v>48</v>
      </c>
      <c r="C3" s="28">
        <f>C4+C7</f>
        <v>1117.261256929913</v>
      </c>
      <c r="D3" s="28">
        <f>D4+D7</f>
        <v>1366.758743070087</v>
      </c>
      <c r="E3" s="10" t="s">
        <v>56</v>
      </c>
    </row>
    <row r="4" spans="1:6" ht="14.25">
      <c r="A4" s="11"/>
      <c r="B4" s="43" t="s">
        <v>49</v>
      </c>
      <c r="C4" s="29">
        <f>C5+C6</f>
        <v>396.30385999699877</v>
      </c>
      <c r="D4" s="29">
        <f>D5+D6</f>
        <v>484.8031400030012</v>
      </c>
      <c r="E4" s="78" t="s">
        <v>56</v>
      </c>
      <c r="F4" s="1"/>
    </row>
    <row r="5" spans="1:5" ht="14.25">
      <c r="A5" s="11" t="s">
        <v>3</v>
      </c>
      <c r="B5" s="9" t="s">
        <v>50</v>
      </c>
      <c r="C5" s="28">
        <f>'Basic Parameters'!C15</f>
        <v>8.096030879275705</v>
      </c>
      <c r="D5" s="28">
        <f>'Basic Parameters'!F15</f>
        <v>9.903969120724296</v>
      </c>
      <c r="E5" s="10" t="s">
        <v>56</v>
      </c>
    </row>
    <row r="6" spans="1:5" ht="14.25">
      <c r="A6" s="11" t="s">
        <v>2</v>
      </c>
      <c r="B6" s="9" t="s">
        <v>97</v>
      </c>
      <c r="C6" s="28">
        <f>'Basic Parameters'!C12*'Basic Parameters'!C20</f>
        <v>388.20782911772307</v>
      </c>
      <c r="D6" s="28">
        <f>'Basic Parameters'!F12*'Basic Parameters'!F20</f>
        <v>474.8991708822769</v>
      </c>
      <c r="E6" s="10" t="s">
        <v>56</v>
      </c>
    </row>
    <row r="7" spans="1:5" ht="14.25">
      <c r="A7" s="11"/>
      <c r="B7" s="43" t="s">
        <v>51</v>
      </c>
      <c r="C7" s="29">
        <f>C8+C11</f>
        <v>720.9573969329143</v>
      </c>
      <c r="D7" s="29">
        <f>D8+D11</f>
        <v>881.9556030670858</v>
      </c>
      <c r="E7" s="78" t="s">
        <v>56</v>
      </c>
    </row>
    <row r="8" spans="1:5" ht="14.25">
      <c r="A8" s="11" t="s">
        <v>0</v>
      </c>
      <c r="B8" s="9" t="s">
        <v>52</v>
      </c>
      <c r="C8" s="28">
        <f>'Basic Parameters'!C12*(1-'Basic Parameters'!C20)</f>
        <v>720.9573969329143</v>
      </c>
      <c r="D8" s="28">
        <f>'Basic Parameters'!F12*(1-'Basic Parameters'!F20)</f>
        <v>881.9556030670858</v>
      </c>
      <c r="E8" s="10" t="s">
        <v>56</v>
      </c>
    </row>
    <row r="9" spans="1:5" ht="14.25">
      <c r="A9" s="11" t="s">
        <v>4</v>
      </c>
      <c r="B9" s="9" t="s">
        <v>53</v>
      </c>
      <c r="C9" s="28">
        <f>C8-C10</f>
        <v>690.822170882277</v>
      </c>
      <c r="D9" s="28">
        <f>D8-D10</f>
        <v>845.0908291177232</v>
      </c>
      <c r="E9" s="10" t="s">
        <v>56</v>
      </c>
    </row>
    <row r="10" spans="1:5" ht="14.25">
      <c r="A10" s="11" t="s">
        <v>1</v>
      </c>
      <c r="B10" s="9" t="s">
        <v>54</v>
      </c>
      <c r="C10" s="28">
        <f>'Basic Parameters'!C14</f>
        <v>30.135226050637343</v>
      </c>
      <c r="D10" s="28">
        <f>'Basic Parameters'!F14</f>
        <v>36.86477394936266</v>
      </c>
      <c r="E10" s="10" t="s">
        <v>56</v>
      </c>
    </row>
    <row r="11" spans="1:5" ht="15" thickBot="1">
      <c r="A11" s="12" t="s">
        <v>2</v>
      </c>
      <c r="B11" s="41" t="s">
        <v>55</v>
      </c>
      <c r="C11" s="30">
        <v>0</v>
      </c>
      <c r="D11" s="30">
        <v>0</v>
      </c>
      <c r="E11" s="79" t="s">
        <v>56</v>
      </c>
    </row>
    <row r="12" ht="15" thickTop="1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"/>
  <sheetViews>
    <sheetView workbookViewId="0" topLeftCell="A1">
      <selection activeCell="O21" sqref="O21"/>
    </sheetView>
  </sheetViews>
  <sheetFormatPr defaultColWidth="9.00390625" defaultRowHeight="14.25"/>
  <cols>
    <col min="1" max="1" width="9.00390625" style="8" customWidth="1"/>
    <col min="2" max="2" width="26.25390625" style="8" customWidth="1"/>
    <col min="3" max="3" width="13.625" style="8" customWidth="1"/>
    <col min="4" max="16384" width="9.00390625" style="8" customWidth="1"/>
  </cols>
  <sheetData>
    <row r="1" spans="1:16" ht="30" customHeight="1">
      <c r="A1" s="163" t="s">
        <v>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52"/>
      <c r="M1" s="152"/>
      <c r="N1" s="152"/>
      <c r="O1" s="152"/>
      <c r="P1" s="152"/>
    </row>
    <row r="2" spans="1:16" ht="12.75" customHeight="1">
      <c r="A2" s="151" t="s">
        <v>9</v>
      </c>
      <c r="B2" s="150" t="s">
        <v>10</v>
      </c>
      <c r="C2" s="62" t="s">
        <v>20</v>
      </c>
      <c r="D2" s="151" t="s">
        <v>27</v>
      </c>
      <c r="E2" s="160"/>
      <c r="F2" s="160"/>
      <c r="G2" s="160"/>
      <c r="H2" s="160"/>
      <c r="I2" s="160"/>
      <c r="J2" s="160"/>
      <c r="K2" s="160"/>
      <c r="L2" s="152"/>
      <c r="M2" s="152"/>
      <c r="N2" s="152"/>
      <c r="O2" s="152"/>
      <c r="P2" s="152"/>
    </row>
    <row r="3" spans="1:16" ht="12.75" customHeight="1">
      <c r="A3" s="151"/>
      <c r="B3" s="150"/>
      <c r="C3" s="62" t="s">
        <v>29</v>
      </c>
      <c r="D3" s="62" t="s">
        <v>12</v>
      </c>
      <c r="E3" s="62" t="s">
        <v>13</v>
      </c>
      <c r="F3" s="62" t="s">
        <v>21</v>
      </c>
      <c r="G3" s="62" t="s">
        <v>22</v>
      </c>
      <c r="H3" s="62" t="s">
        <v>23</v>
      </c>
      <c r="I3" s="62" t="s">
        <v>24</v>
      </c>
      <c r="J3" s="62" t="s">
        <v>25</v>
      </c>
      <c r="K3" s="62" t="s">
        <v>26</v>
      </c>
      <c r="L3" s="62" t="s">
        <v>110</v>
      </c>
      <c r="M3" s="62" t="s">
        <v>175</v>
      </c>
      <c r="N3" s="62" t="s">
        <v>176</v>
      </c>
      <c r="O3" s="62" t="s">
        <v>177</v>
      </c>
      <c r="P3" s="62" t="s">
        <v>178</v>
      </c>
    </row>
    <row r="4" spans="1:16" s="34" customFormat="1" ht="12.75" customHeight="1">
      <c r="A4" s="133"/>
      <c r="B4" s="40" t="s">
        <v>57</v>
      </c>
      <c r="C4" s="27">
        <f>'Total Cost and Expense'!C4</f>
        <v>0</v>
      </c>
      <c r="D4" s="27">
        <f>'Total Cost and Expense'!D4</f>
        <v>1572.6314781029546</v>
      </c>
      <c r="E4" s="27">
        <f>'Total Cost and Expense'!E4</f>
        <v>1572.6314781029546</v>
      </c>
      <c r="F4" s="27">
        <f>'Total Cost and Expense'!F4</f>
        <v>1572.6314781029546</v>
      </c>
      <c r="G4" s="27">
        <f>'Total Cost and Expense'!G4</f>
        <v>1572.6314781029546</v>
      </c>
      <c r="H4" s="27">
        <f>'Total Cost and Expense'!H4</f>
        <v>1572.6314781029546</v>
      </c>
      <c r="I4" s="27">
        <f>'Total Cost and Expense'!I4</f>
        <v>1572.6314781029546</v>
      </c>
      <c r="J4" s="27">
        <f>'Total Cost and Expense'!J4</f>
        <v>1572.6314781029546</v>
      </c>
      <c r="K4" s="27">
        <f>'Total Cost and Expense'!K4</f>
        <v>1572.6314781029546</v>
      </c>
      <c r="L4" s="27">
        <f>'Total Cost and Expense'!L4</f>
        <v>1572.6314781029546</v>
      </c>
      <c r="M4" s="27">
        <f>'Total Cost and Expense'!M4</f>
        <v>1572.6314781029546</v>
      </c>
      <c r="N4" s="27">
        <f>'Total Cost and Expense'!N4</f>
        <v>1572.6314781029546</v>
      </c>
      <c r="O4" s="27">
        <f>'Total Cost and Expense'!O4</f>
        <v>1572.6314781029546</v>
      </c>
      <c r="P4" s="27">
        <f>'Total Cost and Expense'!P4</f>
        <v>1572.6314781029546</v>
      </c>
    </row>
    <row r="5" spans="1:16" s="34" customFormat="1" ht="12.75" customHeight="1">
      <c r="A5" s="133"/>
      <c r="B5" s="40" t="s">
        <v>58</v>
      </c>
      <c r="C5" s="27">
        <v>0</v>
      </c>
      <c r="D5" s="59">
        <f>'Basic Parameters'!C9</f>
        <v>0.42</v>
      </c>
      <c r="E5" s="59">
        <f>D5</f>
        <v>0.42</v>
      </c>
      <c r="F5" s="59">
        <f aca="true" t="shared" si="0" ref="F5:K5">E5</f>
        <v>0.42</v>
      </c>
      <c r="G5" s="59">
        <f t="shared" si="0"/>
        <v>0.42</v>
      </c>
      <c r="H5" s="59">
        <f t="shared" si="0"/>
        <v>0.42</v>
      </c>
      <c r="I5" s="59">
        <f t="shared" si="0"/>
        <v>0.42</v>
      </c>
      <c r="J5" s="59">
        <f t="shared" si="0"/>
        <v>0.42</v>
      </c>
      <c r="K5" s="59">
        <f t="shared" si="0"/>
        <v>0.42</v>
      </c>
      <c r="L5" s="59">
        <f>K5</f>
        <v>0.42</v>
      </c>
      <c r="M5" s="59">
        <f>L5</f>
        <v>0.42</v>
      </c>
      <c r="N5" s="59">
        <f>M5</f>
        <v>0.42</v>
      </c>
      <c r="O5" s="59">
        <f>N5</f>
        <v>0.42</v>
      </c>
      <c r="P5" s="59">
        <f>O5</f>
        <v>0.42</v>
      </c>
    </row>
    <row r="6" spans="1:32" s="58" customFormat="1" ht="12.75" customHeight="1">
      <c r="A6" s="134" t="s">
        <v>0</v>
      </c>
      <c r="B6" s="42" t="s">
        <v>131</v>
      </c>
      <c r="C6" s="36">
        <v>0</v>
      </c>
      <c r="D6" s="36">
        <f>D4*D5</f>
        <v>660.505220803241</v>
      </c>
      <c r="E6" s="36">
        <f aca="true" t="shared" si="1" ref="E6:L6">E4*E5</f>
        <v>660.505220803241</v>
      </c>
      <c r="F6" s="36">
        <f t="shared" si="1"/>
        <v>660.505220803241</v>
      </c>
      <c r="G6" s="36">
        <f t="shared" si="1"/>
        <v>660.505220803241</v>
      </c>
      <c r="H6" s="36">
        <f t="shared" si="1"/>
        <v>660.505220803241</v>
      </c>
      <c r="I6" s="36">
        <f t="shared" si="1"/>
        <v>660.505220803241</v>
      </c>
      <c r="J6" s="36">
        <f t="shared" si="1"/>
        <v>660.505220803241</v>
      </c>
      <c r="K6" s="36">
        <f t="shared" si="1"/>
        <v>660.505220803241</v>
      </c>
      <c r="L6" s="36">
        <f t="shared" si="1"/>
        <v>660.505220803241</v>
      </c>
      <c r="M6" s="36">
        <f>M4*M5</f>
        <v>660.505220803241</v>
      </c>
      <c r="N6" s="36">
        <f>N4*N5</f>
        <v>660.505220803241</v>
      </c>
      <c r="O6" s="36">
        <f>O4*O5</f>
        <v>660.505220803241</v>
      </c>
      <c r="P6" s="36">
        <f>P4*P5</f>
        <v>660.505220803241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16" s="34" customFormat="1" ht="12.75">
      <c r="A7" s="134" t="s">
        <v>11</v>
      </c>
      <c r="B7" s="42" t="s">
        <v>59</v>
      </c>
      <c r="C7" s="36">
        <f>'Total Cost and Expense'!C12</f>
        <v>0</v>
      </c>
      <c r="D7" s="36">
        <f>'Total Cost and Expense'!D12</f>
        <v>535.0688368248523</v>
      </c>
      <c r="E7" s="36">
        <f>'Total Cost and Expense'!E12</f>
        <v>514.0061353582616</v>
      </c>
      <c r="F7" s="36">
        <f>'Total Cost and Expense'!F12</f>
        <v>491.83084302464147</v>
      </c>
      <c r="G7" s="36">
        <f>'Total Cost and Expense'!G12</f>
        <v>468.484189659141</v>
      </c>
      <c r="H7" s="36">
        <f>'Total Cost and Expense'!H12</f>
        <v>443.9043006922454</v>
      </c>
      <c r="I7" s="36">
        <f>'Total Cost and Expense'!I12</f>
        <v>418.0260331664293</v>
      </c>
      <c r="J7" s="36">
        <f>'Total Cost and Expense'!J12</f>
        <v>394.6536580248523</v>
      </c>
      <c r="K7" s="36">
        <f>'Total Cost and Expense'!K12</f>
        <v>394.6536580248523</v>
      </c>
      <c r="L7" s="36">
        <f>'Total Cost and Expense'!L12</f>
        <v>394.6536580248523</v>
      </c>
      <c r="M7" s="36">
        <f>'Total Cost and Expense'!M12</f>
        <v>851.6536580248523</v>
      </c>
      <c r="N7" s="36">
        <f>'Total Cost and Expense'!N12</f>
        <v>851.6536580248523</v>
      </c>
      <c r="O7" s="36">
        <f>'Total Cost and Expense'!O12</f>
        <v>851.6536580248523</v>
      </c>
      <c r="P7" s="36">
        <f>'Total Cost and Expense'!P12</f>
        <v>851.6536580248523</v>
      </c>
    </row>
    <row r="8" spans="1:16" s="34" customFormat="1" ht="12.75">
      <c r="A8" s="134" t="s">
        <v>5</v>
      </c>
      <c r="B8" s="42" t="s">
        <v>60</v>
      </c>
      <c r="C8" s="36">
        <v>0</v>
      </c>
      <c r="D8" s="15">
        <f>D6-D7</f>
        <v>125.43638397838868</v>
      </c>
      <c r="E8" s="15">
        <f>E6-E7</f>
        <v>146.4990854449793</v>
      </c>
      <c r="F8" s="15">
        <f aca="true" t="shared" si="2" ref="F8:L8">F6-F7</f>
        <v>168.67437777859948</v>
      </c>
      <c r="G8" s="15">
        <f t="shared" si="2"/>
        <v>192.02103114409994</v>
      </c>
      <c r="H8" s="15">
        <f t="shared" si="2"/>
        <v>216.60092011099556</v>
      </c>
      <c r="I8" s="15">
        <f t="shared" si="2"/>
        <v>242.47918763681167</v>
      </c>
      <c r="J8" s="15">
        <f t="shared" si="2"/>
        <v>265.85156277838865</v>
      </c>
      <c r="K8" s="15">
        <f t="shared" si="2"/>
        <v>265.85156277838865</v>
      </c>
      <c r="L8" s="15">
        <f t="shared" si="2"/>
        <v>265.85156277838865</v>
      </c>
      <c r="M8" s="15">
        <f>M6-M7</f>
        <v>-191.1484372216114</v>
      </c>
      <c r="N8" s="15">
        <f>N6-N7</f>
        <v>-191.1484372216114</v>
      </c>
      <c r="O8" s="15">
        <f>O6-O7</f>
        <v>-191.1484372216114</v>
      </c>
      <c r="P8" s="15">
        <f>P6-P7</f>
        <v>-191.1484372216114</v>
      </c>
    </row>
    <row r="9" spans="1:16" s="34" customFormat="1" ht="12.75">
      <c r="A9" s="134" t="s">
        <v>6</v>
      </c>
      <c r="B9" s="42" t="s">
        <v>70</v>
      </c>
      <c r="C9" s="36">
        <f>C12</f>
        <v>0</v>
      </c>
      <c r="D9" s="36">
        <f>D12</f>
        <v>41.39400671286827</v>
      </c>
      <c r="E9" s="36">
        <f aca="true" t="shared" si="3" ref="E9:P9">E12</f>
        <v>48.34469819684317</v>
      </c>
      <c r="F9" s="36">
        <f t="shared" si="3"/>
        <v>55.66254466693783</v>
      </c>
      <c r="G9" s="36">
        <f t="shared" si="3"/>
        <v>63.366940277552985</v>
      </c>
      <c r="H9" s="36">
        <f t="shared" si="3"/>
        <v>71.47830363662854</v>
      </c>
      <c r="I9" s="36">
        <f t="shared" si="3"/>
        <v>80.01813192014785</v>
      </c>
      <c r="J9" s="36">
        <f t="shared" si="3"/>
        <v>87.73101571686826</v>
      </c>
      <c r="K9" s="36">
        <f t="shared" si="3"/>
        <v>87.73101571686826</v>
      </c>
      <c r="L9" s="36">
        <f t="shared" si="3"/>
        <v>87.73101571686826</v>
      </c>
      <c r="M9" s="36">
        <f t="shared" si="3"/>
        <v>0</v>
      </c>
      <c r="N9" s="36">
        <f t="shared" si="3"/>
        <v>0</v>
      </c>
      <c r="O9" s="36">
        <f t="shared" si="3"/>
        <v>0</v>
      </c>
      <c r="P9" s="36">
        <f t="shared" si="3"/>
        <v>0</v>
      </c>
    </row>
    <row r="10" spans="1:16" s="34" customFormat="1" ht="12.75">
      <c r="A10" s="133" t="s">
        <v>142</v>
      </c>
      <c r="B10" s="9" t="s">
        <v>122</v>
      </c>
      <c r="C10" s="27">
        <v>0</v>
      </c>
      <c r="D10" s="14">
        <f>MIN(0,SUM(C8:C8))</f>
        <v>0</v>
      </c>
      <c r="E10" s="14">
        <f>MIN(0,SUM(C8:D8))</f>
        <v>0</v>
      </c>
      <c r="F10" s="14">
        <f>MIN(0,SUM(C8:E8))</f>
        <v>0</v>
      </c>
      <c r="G10" s="14">
        <f>MIN(0,SUM(C8:F8))</f>
        <v>0</v>
      </c>
      <c r="H10" s="14">
        <f>MIN(0,SUM(C8:G8))</f>
        <v>0</v>
      </c>
      <c r="I10" s="14">
        <f aca="true" t="shared" si="4" ref="I10:P10">MIN(SUM(D8:H8),0)</f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-41.7421861080569</v>
      </c>
    </row>
    <row r="11" spans="1:16" s="34" customFormat="1" ht="25.5" customHeight="1">
      <c r="A11" s="133" t="s">
        <v>121</v>
      </c>
      <c r="B11" s="54" t="s">
        <v>123</v>
      </c>
      <c r="C11" s="27">
        <f aca="true" t="shared" si="5" ref="C11:L11">C8+C10</f>
        <v>0</v>
      </c>
      <c r="D11" s="14">
        <f t="shared" si="5"/>
        <v>125.43638397838868</v>
      </c>
      <c r="E11" s="14">
        <f t="shared" si="5"/>
        <v>146.4990854449793</v>
      </c>
      <c r="F11" s="14">
        <f t="shared" si="5"/>
        <v>168.67437777859948</v>
      </c>
      <c r="G11" s="14">
        <f t="shared" si="5"/>
        <v>192.02103114409994</v>
      </c>
      <c r="H11" s="14">
        <f t="shared" si="5"/>
        <v>216.60092011099556</v>
      </c>
      <c r="I11" s="14">
        <f t="shared" si="5"/>
        <v>242.47918763681167</v>
      </c>
      <c r="J11" s="14">
        <f t="shared" si="5"/>
        <v>265.85156277838865</v>
      </c>
      <c r="K11" s="14">
        <f t="shared" si="5"/>
        <v>265.85156277838865</v>
      </c>
      <c r="L11" s="14">
        <f t="shared" si="5"/>
        <v>265.85156277838865</v>
      </c>
      <c r="M11" s="14">
        <f>M8+M10</f>
        <v>-191.1484372216114</v>
      </c>
      <c r="N11" s="14">
        <f>N8+N10</f>
        <v>-191.1484372216114</v>
      </c>
      <c r="O11" s="14">
        <f>O8+O10</f>
        <v>-191.1484372216114</v>
      </c>
      <c r="P11" s="14">
        <f>P8+P10</f>
        <v>-232.8906233296683</v>
      </c>
    </row>
    <row r="12" spans="1:16" s="34" customFormat="1" ht="12.75">
      <c r="A12" s="133" t="s">
        <v>143</v>
      </c>
      <c r="B12" s="9" t="s">
        <v>124</v>
      </c>
      <c r="C12" s="27">
        <v>0</v>
      </c>
      <c r="D12" s="14">
        <f>MAX(0,(D11*'Basic Parameters'!$C$17))</f>
        <v>41.39400671286827</v>
      </c>
      <c r="E12" s="14">
        <f>MAX(0,(E11*'Basic Parameters'!$C$17))</f>
        <v>48.34469819684317</v>
      </c>
      <c r="F12" s="14">
        <f>MAX(0,(F11*'Basic Parameters'!$C$17))</f>
        <v>55.66254466693783</v>
      </c>
      <c r="G12" s="14">
        <f>MAX(0,(G11*'Basic Parameters'!$C$17))</f>
        <v>63.366940277552985</v>
      </c>
      <c r="H12" s="14">
        <f>MAX(0,(H11*'Basic Parameters'!$C$17))</f>
        <v>71.47830363662854</v>
      </c>
      <c r="I12" s="14">
        <f>MAX(0,(I11*'Basic Parameters'!$C$17))</f>
        <v>80.01813192014785</v>
      </c>
      <c r="J12" s="14">
        <f>MAX(0,(J11*'Basic Parameters'!$C$17))</f>
        <v>87.73101571686826</v>
      </c>
      <c r="K12" s="14">
        <f>MAX(0,(K11*'Basic Parameters'!$C$17))</f>
        <v>87.73101571686826</v>
      </c>
      <c r="L12" s="14">
        <f>MAX(0,(L11*'Basic Parameters'!$C$17))</f>
        <v>87.73101571686826</v>
      </c>
      <c r="M12" s="14">
        <f>MAX(0,(M11*'Basic Parameters'!$C$17))</f>
        <v>0</v>
      </c>
      <c r="N12" s="14">
        <f>MAX(0,(N11*'Basic Parameters'!$C$17))</f>
        <v>0</v>
      </c>
      <c r="O12" s="14">
        <f>MAX(0,(O11*'Basic Parameters'!$C$17))</f>
        <v>0</v>
      </c>
      <c r="P12" s="14">
        <f>MAX(0,(P11*'Basic Parameters'!$C$17))</f>
        <v>0</v>
      </c>
    </row>
    <row r="13" spans="1:16" ht="12.75">
      <c r="A13" s="135">
        <v>5</v>
      </c>
      <c r="B13" s="43" t="s">
        <v>125</v>
      </c>
      <c r="C13" s="36">
        <v>0</v>
      </c>
      <c r="D13" s="29">
        <f>D8-D9</f>
        <v>84.0423772655204</v>
      </c>
      <c r="E13" s="29">
        <f aca="true" t="shared" si="6" ref="E13:P13">E8-E9</f>
        <v>98.15438724813613</v>
      </c>
      <c r="F13" s="29">
        <f t="shared" si="6"/>
        <v>113.01183311166164</v>
      </c>
      <c r="G13" s="29">
        <f t="shared" si="6"/>
        <v>128.65409086654694</v>
      </c>
      <c r="H13" s="29">
        <f t="shared" si="6"/>
        <v>145.12261647436702</v>
      </c>
      <c r="I13" s="29">
        <f t="shared" si="6"/>
        <v>162.46105571666382</v>
      </c>
      <c r="J13" s="29">
        <f t="shared" si="6"/>
        <v>178.1205470615204</v>
      </c>
      <c r="K13" s="29">
        <f t="shared" si="6"/>
        <v>178.1205470615204</v>
      </c>
      <c r="L13" s="29">
        <f t="shared" si="6"/>
        <v>178.1205470615204</v>
      </c>
      <c r="M13" s="29">
        <f t="shared" si="6"/>
        <v>-191.1484372216114</v>
      </c>
      <c r="N13" s="29">
        <f t="shared" si="6"/>
        <v>-191.1484372216114</v>
      </c>
      <c r="O13" s="29">
        <f t="shared" si="6"/>
        <v>-191.1484372216114</v>
      </c>
      <c r="P13" s="29">
        <f t="shared" si="6"/>
        <v>-191.1484372216114</v>
      </c>
    </row>
    <row r="14" spans="1:16" ht="12.75">
      <c r="A14" s="135">
        <v>6</v>
      </c>
      <c r="B14" s="43" t="s">
        <v>126</v>
      </c>
      <c r="C14" s="36">
        <v>0</v>
      </c>
      <c r="D14" s="29">
        <f>D13*'Basic Parameters'!$C$18</f>
        <v>8.40423772655204</v>
      </c>
      <c r="E14" s="29">
        <f>E13*'Basic Parameters'!$C$18</f>
        <v>9.815438724813614</v>
      </c>
      <c r="F14" s="29">
        <f>F13*'Basic Parameters'!$C$18</f>
        <v>11.301183311166165</v>
      </c>
      <c r="G14" s="29">
        <f>G13*'Basic Parameters'!$C$18</f>
        <v>12.865409086654694</v>
      </c>
      <c r="H14" s="29">
        <f>H13*'Basic Parameters'!$C$18</f>
        <v>14.512261647436702</v>
      </c>
      <c r="I14" s="29">
        <f>I13*'Basic Parameters'!$C$18</f>
        <v>16.246105571666384</v>
      </c>
      <c r="J14" s="29">
        <f>J13*'Basic Parameters'!$C$18</f>
        <v>17.81205470615204</v>
      </c>
      <c r="K14" s="29">
        <f>K13*'Basic Parameters'!$C$18</f>
        <v>17.81205470615204</v>
      </c>
      <c r="L14" s="29">
        <f>L13*'Basic Parameters'!$C$18</f>
        <v>17.81205470615204</v>
      </c>
      <c r="M14" s="29">
        <f>M13*'Basic Parameters'!$C$18</f>
        <v>-19.11484372216114</v>
      </c>
      <c r="N14" s="29">
        <f>N13*'Basic Parameters'!$C$18</f>
        <v>-19.11484372216114</v>
      </c>
      <c r="O14" s="29">
        <f>O13*'Basic Parameters'!$C$18</f>
        <v>-19.11484372216114</v>
      </c>
      <c r="P14" s="29">
        <f>P13*'Basic Parameters'!$C$18</f>
        <v>-19.11484372216114</v>
      </c>
    </row>
    <row r="15" spans="1:16" ht="12.75">
      <c r="A15" s="135">
        <v>7</v>
      </c>
      <c r="B15" s="43" t="s">
        <v>127</v>
      </c>
      <c r="C15" s="36">
        <v>0</v>
      </c>
      <c r="D15" s="29">
        <f>D13-D14</f>
        <v>75.63813953896836</v>
      </c>
      <c r="E15" s="29">
        <f aca="true" t="shared" si="7" ref="E15:L15">E13-E14</f>
        <v>88.33894852332251</v>
      </c>
      <c r="F15" s="29">
        <f t="shared" si="7"/>
        <v>101.71064980049547</v>
      </c>
      <c r="G15" s="29">
        <f t="shared" si="7"/>
        <v>115.78868177989224</v>
      </c>
      <c r="H15" s="29">
        <f t="shared" si="7"/>
        <v>130.61035482693032</v>
      </c>
      <c r="I15" s="29">
        <f t="shared" si="7"/>
        <v>146.21495014499743</v>
      </c>
      <c r="J15" s="29">
        <f t="shared" si="7"/>
        <v>160.30849235536834</v>
      </c>
      <c r="K15" s="29">
        <f t="shared" si="7"/>
        <v>160.30849235536834</v>
      </c>
      <c r="L15" s="29">
        <f t="shared" si="7"/>
        <v>160.30849235536834</v>
      </c>
      <c r="M15" s="29">
        <f>M13-M14</f>
        <v>-172.03359349945026</v>
      </c>
      <c r="N15" s="29">
        <f>N13-N14</f>
        <v>-172.03359349945026</v>
      </c>
      <c r="O15" s="29">
        <f>O13-O14</f>
        <v>-172.03359349945026</v>
      </c>
      <c r="P15" s="29">
        <f>P13-P14</f>
        <v>-172.03359349945026</v>
      </c>
    </row>
    <row r="16" spans="1:16" ht="12.75">
      <c r="A16" s="135">
        <v>8</v>
      </c>
      <c r="B16" s="43" t="s">
        <v>128</v>
      </c>
      <c r="C16" s="36">
        <v>0</v>
      </c>
      <c r="D16" s="29">
        <f>D15</f>
        <v>75.63813953896836</v>
      </c>
      <c r="E16" s="29">
        <f aca="true" t="shared" si="8" ref="E16:L16">E15</f>
        <v>88.33894852332251</v>
      </c>
      <c r="F16" s="29">
        <f t="shared" si="8"/>
        <v>101.71064980049547</v>
      </c>
      <c r="G16" s="29">
        <f t="shared" si="8"/>
        <v>115.78868177989224</v>
      </c>
      <c r="H16" s="29">
        <f t="shared" si="8"/>
        <v>130.61035482693032</v>
      </c>
      <c r="I16" s="29">
        <f t="shared" si="8"/>
        <v>146.21495014499743</v>
      </c>
      <c r="J16" s="29">
        <f t="shared" si="8"/>
        <v>160.30849235536834</v>
      </c>
      <c r="K16" s="29">
        <f t="shared" si="8"/>
        <v>160.30849235536834</v>
      </c>
      <c r="L16" s="29">
        <f t="shared" si="8"/>
        <v>160.30849235536834</v>
      </c>
      <c r="M16" s="29">
        <f>M15</f>
        <v>-172.03359349945026</v>
      </c>
      <c r="N16" s="29">
        <f>N15</f>
        <v>-172.03359349945026</v>
      </c>
      <c r="O16" s="29">
        <f>O15</f>
        <v>-172.03359349945026</v>
      </c>
      <c r="P16" s="29">
        <f>P15</f>
        <v>-172.03359349945026</v>
      </c>
    </row>
  </sheetData>
  <mergeCells count="4">
    <mergeCell ref="A2:A3"/>
    <mergeCell ref="B2:B3"/>
    <mergeCell ref="A1:P1"/>
    <mergeCell ref="D2:P2"/>
  </mergeCells>
  <printOptions/>
  <pageMargins left="0.75" right="0.75" top="1" bottom="1" header="0.5" footer="0.5"/>
  <pageSetup horizontalDpi="180" verticalDpi="180" orientation="portrait" paperSize="9" r:id="rId1"/>
  <ignoredErrors>
    <ignoredError sqref="D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E25" sqref="E25"/>
    </sheetView>
  </sheetViews>
  <sheetFormatPr defaultColWidth="9.00390625" defaultRowHeight="14.25"/>
  <cols>
    <col min="1" max="1" width="9.00390625" style="55" customWidth="1"/>
    <col min="2" max="2" width="30.125" style="55" customWidth="1"/>
    <col min="3" max="3" width="13.625" style="55" customWidth="1"/>
    <col min="4" max="4" width="9.625" style="55" bestFit="1" customWidth="1"/>
    <col min="5" max="16384" width="9.00390625" style="55" customWidth="1"/>
  </cols>
  <sheetData>
    <row r="1" spans="1:16" ht="30" customHeight="1">
      <c r="A1" s="159" t="s">
        <v>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2"/>
      <c r="M1" s="152"/>
      <c r="N1" s="152"/>
      <c r="O1" s="152"/>
      <c r="P1" s="152"/>
    </row>
    <row r="2" spans="1:16" ht="15.75">
      <c r="A2" s="151" t="s">
        <v>9</v>
      </c>
      <c r="B2" s="150" t="s">
        <v>10</v>
      </c>
      <c r="C2" s="62" t="s">
        <v>20</v>
      </c>
      <c r="D2" s="151" t="s">
        <v>27</v>
      </c>
      <c r="E2" s="160"/>
      <c r="F2" s="160"/>
      <c r="G2" s="160"/>
      <c r="H2" s="160"/>
      <c r="I2" s="160"/>
      <c r="J2" s="160"/>
      <c r="K2" s="160"/>
      <c r="L2" s="152"/>
      <c r="M2" s="152"/>
      <c r="N2" s="152"/>
      <c r="O2" s="152"/>
      <c r="P2" s="152"/>
    </row>
    <row r="3" spans="1:16" ht="15.75">
      <c r="A3" s="151"/>
      <c r="B3" s="150"/>
      <c r="C3" s="62" t="s">
        <v>29</v>
      </c>
      <c r="D3" s="62" t="s">
        <v>12</v>
      </c>
      <c r="E3" s="62" t="s">
        <v>13</v>
      </c>
      <c r="F3" s="62" t="s">
        <v>21</v>
      </c>
      <c r="G3" s="62" t="s">
        <v>22</v>
      </c>
      <c r="H3" s="62" t="s">
        <v>23</v>
      </c>
      <c r="I3" s="62" t="s">
        <v>24</v>
      </c>
      <c r="J3" s="62" t="s">
        <v>25</v>
      </c>
      <c r="K3" s="62" t="s">
        <v>26</v>
      </c>
      <c r="L3" s="62" t="s">
        <v>110</v>
      </c>
      <c r="M3" s="62" t="s">
        <v>175</v>
      </c>
      <c r="N3" s="62" t="s">
        <v>176</v>
      </c>
      <c r="O3" s="62" t="s">
        <v>177</v>
      </c>
      <c r="P3" s="62" t="s">
        <v>178</v>
      </c>
    </row>
    <row r="4" spans="1:16" ht="14.25" customHeight="1">
      <c r="A4" s="134">
        <v>1</v>
      </c>
      <c r="B4" s="42" t="s">
        <v>66</v>
      </c>
      <c r="C4" s="15">
        <f>C5+C6+C7</f>
        <v>0</v>
      </c>
      <c r="D4" s="15">
        <f aca="true" t="shared" si="0" ref="D4:K4">D5+D6+D7</f>
        <v>660.505220803241</v>
      </c>
      <c r="E4" s="15">
        <f t="shared" si="0"/>
        <v>660.505220803241</v>
      </c>
      <c r="F4" s="15">
        <f t="shared" si="0"/>
        <v>660.505220803241</v>
      </c>
      <c r="G4" s="15">
        <f t="shared" si="0"/>
        <v>660.505220803241</v>
      </c>
      <c r="H4" s="15">
        <f t="shared" si="0"/>
        <v>660.505220803241</v>
      </c>
      <c r="I4" s="15">
        <f t="shared" si="0"/>
        <v>660.505220803241</v>
      </c>
      <c r="J4" s="15">
        <f t="shared" si="0"/>
        <v>660.505220803241</v>
      </c>
      <c r="K4" s="15">
        <f t="shared" si="0"/>
        <v>660.505220803241</v>
      </c>
      <c r="L4" s="15">
        <f>L5+L6+L7</f>
        <v>660.505220803241</v>
      </c>
      <c r="M4" s="15">
        <f>M5+M6+M7</f>
        <v>660.505220803241</v>
      </c>
      <c r="N4" s="15">
        <f>N5+N6+N7</f>
        <v>660.505220803241</v>
      </c>
      <c r="O4" s="15">
        <f>O5+O6+O7</f>
        <v>660.505220803241</v>
      </c>
      <c r="P4" s="15">
        <f>P5+P6+P7</f>
        <v>1002.0776664801612</v>
      </c>
    </row>
    <row r="5" spans="1:16" ht="14.25" customHeight="1">
      <c r="A5" s="133">
        <v>1.1</v>
      </c>
      <c r="B5" s="51" t="s">
        <v>83</v>
      </c>
      <c r="C5" s="14">
        <v>0</v>
      </c>
      <c r="D5" s="14">
        <f>'Profit and Loss'!D6</f>
        <v>660.505220803241</v>
      </c>
      <c r="E5" s="14">
        <f>'Profit and Loss'!E6</f>
        <v>660.505220803241</v>
      </c>
      <c r="F5" s="14">
        <f>'Profit and Loss'!F6</f>
        <v>660.505220803241</v>
      </c>
      <c r="G5" s="14">
        <f>'Profit and Loss'!G6</f>
        <v>660.505220803241</v>
      </c>
      <c r="H5" s="14">
        <f>'Profit and Loss'!H6</f>
        <v>660.505220803241</v>
      </c>
      <c r="I5" s="14">
        <f>'Profit and Loss'!I6</f>
        <v>660.505220803241</v>
      </c>
      <c r="J5" s="14">
        <f>'Profit and Loss'!J6</f>
        <v>660.505220803241</v>
      </c>
      <c r="K5" s="14">
        <f>'Profit and Loss'!K6</f>
        <v>660.505220803241</v>
      </c>
      <c r="L5" s="14">
        <f>'Profit and Loss'!L6</f>
        <v>660.505220803241</v>
      </c>
      <c r="M5" s="14">
        <f>'Profit and Loss'!M6</f>
        <v>660.505220803241</v>
      </c>
      <c r="N5" s="14">
        <f>'Profit and Loss'!N6</f>
        <v>660.505220803241</v>
      </c>
      <c r="O5" s="14">
        <f>'Profit and Loss'!O6</f>
        <v>660.505220803241</v>
      </c>
      <c r="P5" s="14">
        <f>'Profit and Loss'!P6</f>
        <v>660.505220803241</v>
      </c>
    </row>
    <row r="6" spans="1:16" ht="14.25" customHeight="1">
      <c r="A6" s="133">
        <v>1.2</v>
      </c>
      <c r="B6" s="51" t="s">
        <v>62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9">
        <v>0</v>
      </c>
      <c r="M6" s="9">
        <v>0</v>
      </c>
      <c r="N6" s="9">
        <v>0</v>
      </c>
      <c r="O6" s="9">
        <v>0</v>
      </c>
      <c r="P6" s="14">
        <f>('Basic Parameters'!C12-('Basic Parameters'!C31*(1-'Basic Parameters'!C33)/'Basic Parameters'!C32+'Basic Parameters'!C35*(1-'Basic Parameters'!C37)/'Basic Parameters'!C36)*13)+('Basic Parameters'!F12-('Basic Parameters'!F31*(1-'Basic Parameters'!F33)/'Basic Parameters'!F32+'Basic Parameters'!F35*(1-'Basic Parameters'!F37)/'Basic Parameters'!F36)*13)</f>
        <v>323.5724456769202</v>
      </c>
    </row>
    <row r="7" spans="1:16" ht="14.25" customHeight="1">
      <c r="A7" s="133">
        <v>1.3</v>
      </c>
      <c r="B7" s="40" t="s">
        <v>67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9">
        <v>0</v>
      </c>
      <c r="M7" s="9">
        <v>0</v>
      </c>
      <c r="N7" s="9">
        <v>0</v>
      </c>
      <c r="O7" s="9">
        <v>0</v>
      </c>
      <c r="P7" s="14">
        <f>'Basic Parameters'!C15+'Basic Parameters'!F15</f>
        <v>18</v>
      </c>
    </row>
    <row r="8" spans="1:16" ht="14.25" customHeight="1">
      <c r="A8" s="134">
        <v>2</v>
      </c>
      <c r="B8" s="42" t="s">
        <v>68</v>
      </c>
      <c r="C8" s="15">
        <f>SUM(C9:C13)</f>
        <v>863.107</v>
      </c>
      <c r="D8" s="15">
        <f aca="true" t="shared" si="1" ref="D8:P8">SUM(D9:D13)</f>
        <v>652.100983076689</v>
      </c>
      <c r="E8" s="15">
        <f t="shared" si="1"/>
        <v>650.6897820784272</v>
      </c>
      <c r="F8" s="15">
        <f t="shared" si="1"/>
        <v>649.2040374920747</v>
      </c>
      <c r="G8" s="15">
        <f t="shared" si="1"/>
        <v>647.6398117165862</v>
      </c>
      <c r="H8" s="15">
        <f t="shared" si="1"/>
        <v>645.9929591558042</v>
      </c>
      <c r="I8" s="15">
        <f t="shared" si="1"/>
        <v>600.0484424678546</v>
      </c>
      <c r="J8" s="15">
        <f t="shared" si="1"/>
        <v>317.58101571686825</v>
      </c>
      <c r="K8" s="15">
        <f t="shared" si="1"/>
        <v>317.58101571686825</v>
      </c>
      <c r="L8" s="15">
        <f t="shared" si="1"/>
        <v>317.58101571686825</v>
      </c>
      <c r="M8" s="15">
        <f t="shared" si="1"/>
        <v>686.85</v>
      </c>
      <c r="N8" s="15">
        <f t="shared" si="1"/>
        <v>686.85</v>
      </c>
      <c r="O8" s="15">
        <f t="shared" si="1"/>
        <v>686.85</v>
      </c>
      <c r="P8" s="15">
        <f t="shared" si="1"/>
        <v>686.85</v>
      </c>
    </row>
    <row r="9" spans="1:16" ht="14.25" customHeight="1">
      <c r="A9" s="133">
        <v>2.1</v>
      </c>
      <c r="B9" s="40" t="s">
        <v>159</v>
      </c>
      <c r="C9" s="14">
        <f>'Capital Raising'!C6+'Capital Raising'!D6</f>
        <v>863.107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ht="14.25" customHeight="1">
      <c r="A10" s="133">
        <v>2.2</v>
      </c>
      <c r="B10" s="40" t="s">
        <v>160</v>
      </c>
      <c r="C10" s="14">
        <v>0</v>
      </c>
      <c r="D10" s="14">
        <f>IF('Loan and Payment'!D5&lt;0,0,MIN('Loan and Payment'!D5,'Loan and Payment'!D11))</f>
        <v>240.44179756382061</v>
      </c>
      <c r="E10" s="14">
        <f>IF('Loan and Payment'!E5&lt;0,0,MIN('Loan and Payment'!E5,'Loan and Payment'!E11))</f>
        <v>253.1426065481748</v>
      </c>
      <c r="F10" s="14">
        <f>IF('Loan and Payment'!F5&lt;0,0,MIN('Loan and Payment'!F5,'Loan and Payment'!F11))</f>
        <v>266.5143078253477</v>
      </c>
      <c r="G10" s="14">
        <f>IF('Loan and Payment'!G5&lt;0,0,MIN('Loan and Payment'!G5,'Loan and Payment'!G11))</f>
        <v>280.5923398047445</v>
      </c>
      <c r="H10" s="14">
        <f>IF('Loan and Payment'!H5&lt;0,0,MIN('Loan and Payment'!H5,'Loan and Payment'!H11))</f>
        <v>295.41401285178256</v>
      </c>
      <c r="I10" s="14">
        <f>IF('Loan and Payment'!I5&lt;0,0,MIN('Loan and Payment'!I5,'Loan and Payment'!I11))</f>
        <v>266.8079354061297</v>
      </c>
      <c r="J10" s="14">
        <f>IF('Loan and Payment'!J5&lt;0,0,MIN('Loan and Payment'!J5,'Loan and Payment'!J11))</f>
        <v>0</v>
      </c>
      <c r="K10" s="14">
        <f>IF('Loan and Payment'!K5&lt;0,0,MIN('Loan and Payment'!K5,'Loan and Payment'!K11))</f>
        <v>0</v>
      </c>
      <c r="L10" s="14">
        <f>IF('Loan and Payment'!L5&lt;0,0,MIN('Loan and Payment'!L5,'Loan and Payment'!L11))</f>
        <v>0</v>
      </c>
      <c r="M10" s="14">
        <f>IF('Loan and Payment'!M5&lt;0,0,MIN('Loan and Payment'!M5,'Loan and Payment'!M11))</f>
        <v>0</v>
      </c>
      <c r="N10" s="14">
        <f>IF('Loan and Payment'!N5&lt;0,0,MIN('Loan and Payment'!N5,'Loan and Payment'!N11))</f>
        <v>0</v>
      </c>
      <c r="O10" s="14">
        <f>IF('Loan and Payment'!O5&lt;0,0,MIN('Loan and Payment'!O5,'Loan and Payment'!O11))</f>
        <v>0</v>
      </c>
      <c r="P10" s="14">
        <f>IF('Loan and Payment'!P5&lt;0,0,MIN('Loan and Payment'!P5,'Loan and Payment'!P11))</f>
        <v>0</v>
      </c>
    </row>
    <row r="11" spans="1:16" ht="14.25" customHeight="1">
      <c r="A11" s="133">
        <v>2.3</v>
      </c>
      <c r="B11" s="40" t="s">
        <v>162</v>
      </c>
      <c r="C11" s="14">
        <v>0</v>
      </c>
      <c r="D11" s="14">
        <f>MAX(0,'Loan and Payment'!D10)</f>
        <v>140.4151788</v>
      </c>
      <c r="E11" s="14">
        <f>MAX(0,'Loan and Payment'!E10)</f>
        <v>119.3524773334093</v>
      </c>
      <c r="F11" s="14">
        <f>MAX(0,'Loan and Payment'!F10)</f>
        <v>97.17718499978919</v>
      </c>
      <c r="G11" s="14">
        <f>MAX(0,'Loan and Payment'!G10)</f>
        <v>73.83053163428873</v>
      </c>
      <c r="H11" s="14">
        <f>MAX(0,'Loan and Payment'!H10)</f>
        <v>49.25064266739311</v>
      </c>
      <c r="I11" s="14">
        <f>MAX(0,'Loan and Payment'!I10)</f>
        <v>23.37237514157696</v>
      </c>
      <c r="J11" s="14">
        <f>MAX(0,'Loan and Payment'!J10)</f>
        <v>0</v>
      </c>
      <c r="K11" s="14">
        <f>MAX(0,'Loan and Payment'!K10)</f>
        <v>0</v>
      </c>
      <c r="L11" s="14">
        <f>MAX(0,'Loan and Payment'!L10)</f>
        <v>0</v>
      </c>
      <c r="M11" s="14">
        <f>MAX(0,'Loan and Payment'!M10)</f>
        <v>0</v>
      </c>
      <c r="N11" s="14">
        <f>MAX(0,'Loan and Payment'!N10)</f>
        <v>0</v>
      </c>
      <c r="O11" s="14">
        <f>MAX(0,'Loan and Payment'!O10)</f>
        <v>0</v>
      </c>
      <c r="P11" s="14">
        <f>MAX(0,'Loan and Payment'!P10)</f>
        <v>0</v>
      </c>
    </row>
    <row r="12" spans="1:16" ht="14.25" customHeight="1">
      <c r="A12" s="133" t="s">
        <v>135</v>
      </c>
      <c r="B12" s="40" t="s">
        <v>69</v>
      </c>
      <c r="C12" s="14">
        <f>'Total Cost and Expense'!C13</f>
        <v>0</v>
      </c>
      <c r="D12" s="14">
        <f>'Total Cost and Expense'!D13</f>
        <v>229.85000000000002</v>
      </c>
      <c r="E12" s="14">
        <f>'Total Cost and Expense'!E13</f>
        <v>229.85000000000002</v>
      </c>
      <c r="F12" s="14">
        <f>'Total Cost and Expense'!F13</f>
        <v>229.85000000000002</v>
      </c>
      <c r="G12" s="14">
        <f>'Total Cost and Expense'!G13</f>
        <v>229.85000000000002</v>
      </c>
      <c r="H12" s="14">
        <f>'Total Cost and Expense'!H13</f>
        <v>229.85000000000002</v>
      </c>
      <c r="I12" s="14">
        <f>'Total Cost and Expense'!I13</f>
        <v>229.85000000000002</v>
      </c>
      <c r="J12" s="14">
        <f>'Total Cost and Expense'!J13</f>
        <v>229.85000000000002</v>
      </c>
      <c r="K12" s="14">
        <f>'Total Cost and Expense'!K13</f>
        <v>229.85000000000002</v>
      </c>
      <c r="L12" s="14">
        <f>'Total Cost and Expense'!L13</f>
        <v>229.85000000000002</v>
      </c>
      <c r="M12" s="14">
        <f>'Total Cost and Expense'!M13</f>
        <v>686.85</v>
      </c>
      <c r="N12" s="14">
        <f>'Total Cost and Expense'!N13</f>
        <v>686.85</v>
      </c>
      <c r="O12" s="14">
        <f>'Total Cost and Expense'!O13</f>
        <v>686.85</v>
      </c>
      <c r="P12" s="14">
        <f>'Total Cost and Expense'!P13</f>
        <v>686.85</v>
      </c>
    </row>
    <row r="13" spans="1:16" ht="14.25" customHeight="1">
      <c r="A13" s="133">
        <v>2.5</v>
      </c>
      <c r="B13" s="40" t="s">
        <v>129</v>
      </c>
      <c r="C13" s="14">
        <v>0</v>
      </c>
      <c r="D13" s="14">
        <f>'Profit and Loss'!D9</f>
        <v>41.39400671286827</v>
      </c>
      <c r="E13" s="14">
        <f>'Profit and Loss'!E9</f>
        <v>48.34469819684317</v>
      </c>
      <c r="F13" s="14">
        <f>'Profit and Loss'!F9</f>
        <v>55.66254466693783</v>
      </c>
      <c r="G13" s="14">
        <f>'Profit and Loss'!G9</f>
        <v>63.366940277552985</v>
      </c>
      <c r="H13" s="14">
        <f>'Profit and Loss'!H9</f>
        <v>71.47830363662854</v>
      </c>
      <c r="I13" s="14">
        <f>'Profit and Loss'!I9</f>
        <v>80.01813192014785</v>
      </c>
      <c r="J13" s="14">
        <f>'Profit and Loss'!J9</f>
        <v>87.73101571686826</v>
      </c>
      <c r="K13" s="14">
        <f>'Profit and Loss'!K9</f>
        <v>87.73101571686826</v>
      </c>
      <c r="L13" s="14">
        <f>'Profit and Loss'!L9</f>
        <v>87.73101571686826</v>
      </c>
      <c r="M13" s="14">
        <f>'Profit and Loss'!M9</f>
        <v>0</v>
      </c>
      <c r="N13" s="14">
        <f>'Profit and Loss'!N9</f>
        <v>0</v>
      </c>
      <c r="O13" s="14">
        <f>'Profit and Loss'!O9</f>
        <v>0</v>
      </c>
      <c r="P13" s="14">
        <f>'Profit and Loss'!P9</f>
        <v>0</v>
      </c>
    </row>
    <row r="14" spans="1:16" ht="14.25" customHeight="1">
      <c r="A14" s="134">
        <v>3</v>
      </c>
      <c r="B14" s="42" t="s">
        <v>71</v>
      </c>
      <c r="C14" s="15">
        <f>C4-C8</f>
        <v>-863.107</v>
      </c>
      <c r="D14" s="15">
        <f aca="true" t="shared" si="2" ref="D14:K14">D4-D8</f>
        <v>8.404237726551969</v>
      </c>
      <c r="E14" s="15">
        <f t="shared" si="2"/>
        <v>9.815438724813703</v>
      </c>
      <c r="F14" s="15">
        <f t="shared" si="2"/>
        <v>11.301183311166255</v>
      </c>
      <c r="G14" s="15">
        <f t="shared" si="2"/>
        <v>12.865409086654722</v>
      </c>
      <c r="H14" s="15">
        <f t="shared" si="2"/>
        <v>14.51226164743673</v>
      </c>
      <c r="I14" s="15">
        <f t="shared" si="2"/>
        <v>60.45677833538639</v>
      </c>
      <c r="J14" s="15">
        <f t="shared" si="2"/>
        <v>342.9242050863727</v>
      </c>
      <c r="K14" s="15">
        <f t="shared" si="2"/>
        <v>342.9242050863727</v>
      </c>
      <c r="L14" s="15">
        <f>L4-L8</f>
        <v>342.9242050863727</v>
      </c>
      <c r="M14" s="15">
        <f>M4-M8</f>
        <v>-26.344779196759077</v>
      </c>
      <c r="N14" s="15">
        <f>N4-N8</f>
        <v>-26.344779196759077</v>
      </c>
      <c r="O14" s="15">
        <f>O4-O8</f>
        <v>-26.344779196759077</v>
      </c>
      <c r="P14" s="15">
        <f>P4-P8</f>
        <v>315.22766648016113</v>
      </c>
    </row>
    <row r="15" spans="2:12" ht="16.5" thickBot="1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2:13" ht="15.75" hidden="1">
      <c r="B16" s="118" t="s">
        <v>63</v>
      </c>
      <c r="C16" s="119">
        <v>0</v>
      </c>
      <c r="D16" s="119">
        <f>64221*5/12</f>
        <v>26758.75</v>
      </c>
      <c r="E16" s="119">
        <v>64221</v>
      </c>
      <c r="F16" s="119">
        <f>E16</f>
        <v>64221</v>
      </c>
      <c r="G16" s="119">
        <f>F16</f>
        <v>64221</v>
      </c>
      <c r="H16" s="119">
        <f>G16</f>
        <v>64221</v>
      </c>
      <c r="I16" s="119">
        <f>H16</f>
        <v>64221</v>
      </c>
      <c r="J16" s="119">
        <f>I16</f>
        <v>64221</v>
      </c>
      <c r="K16" s="119">
        <v>19298</v>
      </c>
      <c r="L16" s="65">
        <f>K16</f>
        <v>19298</v>
      </c>
      <c r="M16" s="55" t="s">
        <v>34</v>
      </c>
    </row>
    <row r="17" spans="2:12" ht="15.75" hidden="1">
      <c r="B17" s="94" t="s">
        <v>144</v>
      </c>
      <c r="C17" s="14">
        <v>8</v>
      </c>
      <c r="D17" s="14">
        <f>C17</f>
        <v>8</v>
      </c>
      <c r="E17" s="14">
        <f aca="true" t="shared" si="3" ref="E17:L17">D17</f>
        <v>8</v>
      </c>
      <c r="F17" s="14">
        <f t="shared" si="3"/>
        <v>8</v>
      </c>
      <c r="G17" s="14">
        <f t="shared" si="3"/>
        <v>8</v>
      </c>
      <c r="H17" s="14">
        <f t="shared" si="3"/>
        <v>8</v>
      </c>
      <c r="I17" s="14">
        <f t="shared" si="3"/>
        <v>8</v>
      </c>
      <c r="J17" s="14">
        <f t="shared" si="3"/>
        <v>8</v>
      </c>
      <c r="K17" s="14">
        <f t="shared" si="3"/>
        <v>8</v>
      </c>
      <c r="L17" s="65">
        <f t="shared" si="3"/>
        <v>8</v>
      </c>
    </row>
    <row r="18" spans="2:12" ht="15.75" hidden="1">
      <c r="B18" s="94" t="s">
        <v>64</v>
      </c>
      <c r="C18" s="14">
        <f>C16*C17*10/10000</f>
        <v>0</v>
      </c>
      <c r="D18" s="14">
        <f aca="true" t="shared" si="4" ref="D18:L18">D16*D17*10/10000</f>
        <v>214.07</v>
      </c>
      <c r="E18" s="14">
        <f t="shared" si="4"/>
        <v>513.768</v>
      </c>
      <c r="F18" s="14">
        <f t="shared" si="4"/>
        <v>513.768</v>
      </c>
      <c r="G18" s="14">
        <f t="shared" si="4"/>
        <v>513.768</v>
      </c>
      <c r="H18" s="14">
        <f t="shared" si="4"/>
        <v>513.768</v>
      </c>
      <c r="I18" s="14">
        <f t="shared" si="4"/>
        <v>513.768</v>
      </c>
      <c r="J18" s="14">
        <f t="shared" si="4"/>
        <v>513.768</v>
      </c>
      <c r="K18" s="14">
        <f t="shared" si="4"/>
        <v>154.384</v>
      </c>
      <c r="L18" s="65">
        <f t="shared" si="4"/>
        <v>154.384</v>
      </c>
    </row>
    <row r="19" spans="2:12" ht="16.5" hidden="1" thickBot="1">
      <c r="B19" s="121" t="s">
        <v>145</v>
      </c>
      <c r="C19" s="122">
        <f>C14+C18</f>
        <v>-863.107</v>
      </c>
      <c r="D19" s="122">
        <f aca="true" t="shared" si="5" ref="D19:L19">D14+D18</f>
        <v>222.47423772655196</v>
      </c>
      <c r="E19" s="122">
        <f t="shared" si="5"/>
        <v>523.5834387248137</v>
      </c>
      <c r="F19" s="122">
        <f t="shared" si="5"/>
        <v>525.0691833111663</v>
      </c>
      <c r="G19" s="122">
        <f t="shared" si="5"/>
        <v>526.6334090866548</v>
      </c>
      <c r="H19" s="122">
        <f t="shared" si="5"/>
        <v>528.2802616474368</v>
      </c>
      <c r="I19" s="122">
        <f t="shared" si="5"/>
        <v>574.2247783353864</v>
      </c>
      <c r="J19" s="122">
        <f t="shared" si="5"/>
        <v>856.6922050863727</v>
      </c>
      <c r="K19" s="122">
        <f t="shared" si="5"/>
        <v>497.3082050863727</v>
      </c>
      <c r="L19" s="120">
        <f t="shared" si="5"/>
        <v>497.3082050863727</v>
      </c>
    </row>
    <row r="20" spans="3:12" ht="15.75" hidden="1">
      <c r="C20" s="72" t="s">
        <v>146</v>
      </c>
      <c r="D20" s="72" t="s">
        <v>147</v>
      </c>
      <c r="E20" s="72" t="s">
        <v>148</v>
      </c>
      <c r="F20" s="72" t="s">
        <v>149</v>
      </c>
      <c r="G20" s="72" t="s">
        <v>150</v>
      </c>
      <c r="H20" s="72" t="s">
        <v>151</v>
      </c>
      <c r="I20" s="72" t="s">
        <v>152</v>
      </c>
      <c r="J20" s="72" t="s">
        <v>153</v>
      </c>
      <c r="K20" s="72" t="s">
        <v>154</v>
      </c>
      <c r="L20" s="72" t="s">
        <v>155</v>
      </c>
    </row>
    <row r="21" ht="15.75" hidden="1"/>
    <row r="23" spans="3:5" ht="15.75">
      <c r="C23" s="56"/>
      <c r="E23" s="56"/>
    </row>
    <row r="24" ht="15.75">
      <c r="I24" s="137"/>
    </row>
  </sheetData>
  <mergeCells count="4">
    <mergeCell ref="A2:A3"/>
    <mergeCell ref="B2:B3"/>
    <mergeCell ref="A1:P1"/>
    <mergeCell ref="D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rchild</cp:lastModifiedBy>
  <dcterms:created xsi:type="dcterms:W3CDTF">2006-11-19T02:03:05Z</dcterms:created>
  <dcterms:modified xsi:type="dcterms:W3CDTF">2008-04-14T11:20:31Z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