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506" windowWidth="19320" windowHeight="11640" tabRatio="894" activeTab="0"/>
  </bookViews>
  <sheets>
    <sheet name="SUMMARY" sheetId="1" r:id="rId1"/>
    <sheet name="EMISSION" sheetId="2" r:id="rId2"/>
    <sheet name="FINANCE" sheetId="3" r:id="rId3"/>
    <sheet name="FSA-0" sheetId="4" r:id="rId4"/>
    <sheet name="FSA-1" sheetId="5" r:id="rId5"/>
    <sheet name="FSA-2" sheetId="6" r:id="rId6"/>
    <sheet name="FSA-3" sheetId="7" r:id="rId7"/>
    <sheet name="GRID-EF" sheetId="8" r:id="rId8"/>
    <sheet name="RD-2005IPP" sheetId="9" r:id="rId9"/>
    <sheet name="RD-2006ALL" sheetId="10" r:id="rId10"/>
    <sheet name="RD-2006DataAnalysis" sheetId="11" r:id="rId11"/>
    <sheet name="ESAV" sheetId="12" r:id="rId12"/>
  </sheets>
  <externalReferences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BEC" localSheetId="2">#REF!</definedName>
    <definedName name="ABEC" localSheetId="3">#REF!</definedName>
    <definedName name="ABEC" localSheetId="4">#REF!</definedName>
    <definedName name="ABEC" localSheetId="5">#REF!</definedName>
    <definedName name="ABEC" localSheetId="6">#REF!</definedName>
    <definedName name="ABEC">#REF!</definedName>
    <definedName name="ABEC2">#REF!</definedName>
    <definedName name="AEIC" localSheetId="2">#REF!</definedName>
    <definedName name="AEIC" localSheetId="3">#REF!</definedName>
    <definedName name="AEIC" localSheetId="4">#REF!</definedName>
    <definedName name="AEIC" localSheetId="5">#REF!</definedName>
    <definedName name="AEIC" localSheetId="6">#REF!</definedName>
    <definedName name="AEIC">#REF!</definedName>
    <definedName name="AHVAP" localSheetId="2">'[1]Common Data'!#REF!</definedName>
    <definedName name="AHVAP" localSheetId="3">'[1]Common Data'!#REF!</definedName>
    <definedName name="AHVAP" localSheetId="4">'[1]Common Data'!#REF!</definedName>
    <definedName name="AHVAP" localSheetId="5">'[1]Common Data'!#REF!</definedName>
    <definedName name="AHVAP" localSheetId="6">'[1]Common Data'!#REF!</definedName>
    <definedName name="AHVAP">'[1]Common Data'!#REF!</definedName>
    <definedName name="Beli" localSheetId="3">#REF!</definedName>
    <definedName name="Beli" localSheetId="6">#REF!</definedName>
    <definedName name="Beli">#REF!</definedName>
    <definedName name="CAHO" localSheetId="2">#REF!</definedName>
    <definedName name="CAHO" localSheetId="3">#REF!</definedName>
    <definedName name="CAHO" localSheetId="4">#REF!</definedName>
    <definedName name="CAHO" localSheetId="5">#REF!</definedName>
    <definedName name="CAHO" localSheetId="6">#REF!</definedName>
    <definedName name="CAHO">#REF!</definedName>
    <definedName name="CEF_CO">'GRID-EF'!$G$44</definedName>
    <definedName name="CEF_DO">'GRID-EF'!$G$42</definedName>
    <definedName name="CEF_FO">'GRID-EF'!$G$42</definedName>
    <definedName name="CEF_NG">'GRID-EF'!$G$45</definedName>
    <definedName name="CEF_RO">'GRID-EF'!$G$43</definedName>
    <definedName name="CERAmount" localSheetId="2">'[2]IRR Simulation'!#REF!</definedName>
    <definedName name="CERAmount" localSheetId="3">'[2]IRR Simulation'!#REF!</definedName>
    <definedName name="CERAmount" localSheetId="4">'[2]IRR Simulation'!#REF!</definedName>
    <definedName name="CERAmount" localSheetId="5">'[2]IRR Simulation'!#REF!</definedName>
    <definedName name="CERAmount" localSheetId="6">'[2]IRR Simulation'!#REF!</definedName>
    <definedName name="CERAmount">'[2]IRR Simulation'!#REF!</definedName>
    <definedName name="CERSales" localSheetId="2">'[2]IRR Simulation'!#REF!</definedName>
    <definedName name="CERSales" localSheetId="3">'[2]IRR Simulation'!#REF!</definedName>
    <definedName name="CERSales" localSheetId="4">'[2]IRR Simulation'!#REF!</definedName>
    <definedName name="CERSales" localSheetId="5">'[2]IRR Simulation'!#REF!</definedName>
    <definedName name="CERSales" localSheetId="6">'[2]IRR Simulation'!#REF!</definedName>
    <definedName name="CERSales">'[2]IRR Simulation'!#REF!</definedName>
    <definedName name="CERSalesPrice" localSheetId="2">'[2]IRR Simulation'!#REF!</definedName>
    <definedName name="CERSalesPrice" localSheetId="3">'[2]IRR Simulation'!#REF!</definedName>
    <definedName name="CERSalesPrice" localSheetId="4">'[2]IRR Simulation'!#REF!</definedName>
    <definedName name="CERSalesPrice" localSheetId="5">'[2]IRR Simulation'!#REF!</definedName>
    <definedName name="CERSalesPrice" localSheetId="6">'[2]IRR Simulation'!#REF!</definedName>
    <definedName name="CERSalesPrice">'[2]IRR Simulation'!#REF!</definedName>
    <definedName name="CODOUT" localSheetId="2">#REF!</definedName>
    <definedName name="CODOUT" localSheetId="3">#REF!</definedName>
    <definedName name="CODOUT" localSheetId="4">#REF!</definedName>
    <definedName name="CODOUT" localSheetId="5">#REF!</definedName>
    <definedName name="CODOUT" localSheetId="6">#REF!</definedName>
    <definedName name="CODOUT">#REF!</definedName>
    <definedName name="_xlnm.Print_Area" localSheetId="9">'RD-2006ALL'!$A$2:$U$251</definedName>
    <definedName name="EF_CO">#REF!</definedName>
    <definedName name="EF_FO">#REF!</definedName>
    <definedName name="EF_NG">#REF!</definedName>
    <definedName name="HOUT">'[3]General'!$C$8</definedName>
    <definedName name="MCF">'[4]CER Calculation'!$G$4</definedName>
    <definedName name="NCV_CO" localSheetId="9">#REF!</definedName>
    <definedName name="NCV_CO" localSheetId="10">#REF!</definedName>
    <definedName name="NCV_CO">'GRID-EF'!$F$44</definedName>
    <definedName name="NCV_DO">'GRID-EF'!$F$42</definedName>
    <definedName name="NCV_FO" localSheetId="9">#REF!</definedName>
    <definedName name="NCV_FO" localSheetId="10">#REF!</definedName>
    <definedName name="NCV_FO">'GRID-EF'!$F$42</definedName>
    <definedName name="NCV_NG" localSheetId="9">#REF!</definedName>
    <definedName name="NCV_NG" localSheetId="10">#REF!</definedName>
    <definedName name="NCV_NG">'GRID-EF'!$F$45</definedName>
    <definedName name="NCV_RO">'GRID-EF'!$F$43</definedName>
    <definedName name="OHOUR">'[3]General'!$C$11</definedName>
    <definedName name="OXF_CO" localSheetId="2">'GRID-EF'!#REF!</definedName>
    <definedName name="OXF_CO" localSheetId="3">'GRID-EF'!#REF!</definedName>
    <definedName name="OXF_CO" localSheetId="4">'GRID-EF'!#REF!</definedName>
    <definedName name="OXF_CO" localSheetId="5">'GRID-EF'!#REF!</definedName>
    <definedName name="OXF_CO" localSheetId="6">'GRID-EF'!#REF!</definedName>
    <definedName name="OXF_CO">'GRID-EF'!#REF!</definedName>
    <definedName name="OXF_FO" localSheetId="2">'GRID-EF'!#REF!</definedName>
    <definedName name="OXF_FO" localSheetId="3">'GRID-EF'!#REF!</definedName>
    <definedName name="OXF_FO" localSheetId="4">'GRID-EF'!#REF!</definedName>
    <definedName name="OXF_FO" localSheetId="5">'GRID-EF'!#REF!</definedName>
    <definedName name="OXF_FO" localSheetId="6">'GRID-EF'!#REF!</definedName>
    <definedName name="OXF_FO">'GRID-EF'!#REF!</definedName>
    <definedName name="OXF_NG" localSheetId="2">'GRID-EF'!#REF!</definedName>
    <definedName name="OXF_NG" localSheetId="3">'GRID-EF'!#REF!</definedName>
    <definedName name="OXF_NG" localSheetId="4">'GRID-EF'!#REF!</definedName>
    <definedName name="OXF_NG" localSheetId="5">'GRID-EF'!#REF!</definedName>
    <definedName name="OXF_NG" localSheetId="6">'GRID-EF'!#REF!</definedName>
    <definedName name="OXF_NG">'GRID-EF'!#REF!</definedName>
    <definedName name="PARA">'[3]General'!$J$11</definedName>
    <definedName name="PNUBC" localSheetId="2">'[1]Common Data'!#REF!</definedName>
    <definedName name="PNUBC" localSheetId="3">'[1]Common Data'!#REF!</definedName>
    <definedName name="PNUBC" localSheetId="4">'[1]Common Data'!#REF!</definedName>
    <definedName name="PNUBC" localSheetId="5">'[1]Common Data'!#REF!</definedName>
    <definedName name="PNUBC" localSheetId="6">'[1]Common Data'!#REF!</definedName>
    <definedName name="PNUBC">'[1]Common Data'!#REF!</definedName>
    <definedName name="PPELC" localSheetId="2">'[1]Common Data'!#REF!</definedName>
    <definedName name="PPELC" localSheetId="3">'[1]Common Data'!#REF!</definedName>
    <definedName name="PPELC" localSheetId="4">'[1]Common Data'!#REF!</definedName>
    <definedName name="PPELC" localSheetId="5">'[1]Common Data'!#REF!</definedName>
    <definedName name="PPELC" localSheetId="6">'[1]Common Data'!#REF!</definedName>
    <definedName name="PPELC">'[1]Common Data'!#REF!</definedName>
    <definedName name="PVICC" localSheetId="2">'[1]Common Data'!#REF!</definedName>
    <definedName name="PVICC" localSheetId="3">'[1]Common Data'!#REF!</definedName>
    <definedName name="PVICC" localSheetId="4">'[1]Common Data'!#REF!</definedName>
    <definedName name="PVICC" localSheetId="5">'[1]Common Data'!#REF!</definedName>
    <definedName name="PVICC" localSheetId="6">'[1]Common Data'!#REF!</definedName>
    <definedName name="PVICC">'[1]Common Data'!#REF!</definedName>
    <definedName name="SG_DO" localSheetId="9">#REF!</definedName>
    <definedName name="SG_DO" localSheetId="10">#REF!</definedName>
    <definedName name="SG_DO">'GRID-EF'!$F$27</definedName>
    <definedName name="SG_HSD">'GRID-EF'!$F$26</definedName>
    <definedName name="SG_MFO">'GRID-EF'!$F$28</definedName>
    <definedName name="SG_NG" localSheetId="9">#REF!</definedName>
    <definedName name="SG_NG" localSheetId="10">#REF!</definedName>
    <definedName name="SG_NG">'GRID-EF'!$F$29</definedName>
    <definedName name="solver_adj" localSheetId="9" hidden="1">'RD-2006ALL'!#REF!</definedName>
    <definedName name="solver_cvg" localSheetId="9" hidden="1">0.001</definedName>
    <definedName name="solver_drv" localSheetId="9" hidden="1">1</definedName>
    <definedName name="solver_est" localSheetId="9" hidden="1">1</definedName>
    <definedName name="solver_itr" localSheetId="9" hidden="1">100</definedName>
    <definedName name="solver_lin" localSheetId="9" hidden="1">2</definedName>
    <definedName name="solver_neg" localSheetId="9" hidden="1">2</definedName>
    <definedName name="solver_num" localSheetId="9" hidden="1">0</definedName>
    <definedName name="solver_nwt" localSheetId="9" hidden="1">1</definedName>
    <definedName name="solver_opt" localSheetId="9" hidden="1">'RD-2006ALL'!#REF!</definedName>
    <definedName name="solver_pre" localSheetId="9" hidden="1">0.000001</definedName>
    <definedName name="solver_scl" localSheetId="9" hidden="1">2</definedName>
    <definedName name="solver_sho" localSheetId="9" hidden="1">2</definedName>
    <definedName name="solver_tim" localSheetId="9" hidden="1">100</definedName>
    <definedName name="solver_tol" localSheetId="9" hidden="1">0.05</definedName>
    <definedName name="solver_typ" localSheetId="9" hidden="1">3</definedName>
    <definedName name="solver_val" localSheetId="9" hidden="1">0</definedName>
    <definedName name="WETWASTE">'[5]Baseline Emission'!$D$11</definedName>
  </definedNames>
  <calcPr fullCalcOnLoad="1"/>
  <pivotCaches>
    <pivotCache cacheId="3" r:id="rId13"/>
    <pivotCache cacheId="1" r:id="rId14"/>
  </pivotCaches>
</workbook>
</file>

<file path=xl/comments10.xml><?xml version="1.0" encoding="utf-8"?>
<comments xmlns="http://schemas.openxmlformats.org/spreadsheetml/2006/main">
  <authors>
    <author>VNN.R9</author>
  </authors>
  <commentList>
    <comment ref="H24" authorId="0">
      <text>
        <r>
          <rPr>
            <b/>
            <sz val="8"/>
            <rFont val="Tahoma"/>
            <family val="2"/>
          </rPr>
          <t>Chek Kapasitas</t>
        </r>
      </text>
    </comment>
  </commentList>
</comments>
</file>

<file path=xl/comments3.xml><?xml version="1.0" encoding="utf-8"?>
<comments xmlns="http://schemas.openxmlformats.org/spreadsheetml/2006/main">
  <authors>
    <author> </author>
    <author>Cynthia Hendrayani</author>
  </authors>
  <commentList>
    <comment ref="F17" authorId="0">
      <text>
        <r>
          <rPr>
            <b/>
            <sz val="8"/>
            <rFont val="Tahoma"/>
            <family val="2"/>
          </rPr>
          <t>Cynthia Hendrayani:</t>
        </r>
        <r>
          <rPr>
            <sz val="8"/>
            <rFont val="Tahoma"/>
            <family val="2"/>
          </rPr>
          <t xml:space="preserve">
Based on 8 months
Adjusted for 12 months
</t>
        </r>
      </text>
    </comment>
    <comment ref="F19" authorId="0">
      <text>
        <r>
          <rPr>
            <b/>
            <sz val="8"/>
            <rFont val="Tahoma"/>
            <family val="2"/>
          </rPr>
          <t>Cynthia Hendrayani :</t>
        </r>
        <r>
          <rPr>
            <sz val="8"/>
            <rFont val="Tahoma"/>
            <family val="2"/>
          </rPr>
          <t xml:space="preserve">
grow by 7%/year since 2009</t>
        </r>
      </text>
    </comment>
    <comment ref="G26" authorId="1">
      <text>
        <r>
          <rPr>
            <b/>
            <sz val="8"/>
            <rFont val="Tahoma"/>
            <family val="2"/>
          </rPr>
          <t>Cynthia Hendrayani:</t>
        </r>
        <r>
          <rPr>
            <sz val="8"/>
            <rFont val="Tahoma"/>
            <family val="2"/>
          </rPr>
          <t xml:space="preserve">
Based on 6 months, adjusted for 12 months</t>
        </r>
      </text>
    </comment>
    <comment ref="H17" authorId="1">
      <text>
        <r>
          <rPr>
            <b/>
            <sz val="8"/>
            <rFont val="Tahoma"/>
            <family val="2"/>
          </rPr>
          <t>Cynthia Hendrayani:</t>
        </r>
        <r>
          <rPr>
            <sz val="8"/>
            <rFont val="Tahoma"/>
            <family val="2"/>
          </rPr>
          <t xml:space="preserve">
Based on 8 months, adjusted for 12 months</t>
        </r>
      </text>
    </comment>
    <comment ref="H26" authorId="1">
      <text>
        <r>
          <rPr>
            <b/>
            <sz val="8"/>
            <rFont val="Tahoma"/>
            <family val="2"/>
          </rPr>
          <t>Cynthia Hendrayani:</t>
        </r>
        <r>
          <rPr>
            <sz val="8"/>
            <rFont val="Tahoma"/>
            <family val="2"/>
          </rPr>
          <t xml:space="preserve">
Based on 6 months, adjusted for 12 months
</t>
        </r>
      </text>
    </comment>
  </commentList>
</comments>
</file>

<file path=xl/comments4.xml><?xml version="1.0" encoding="utf-8"?>
<comments xmlns="http://schemas.openxmlformats.org/spreadsheetml/2006/main">
  <authors>
    <author> </author>
    <author>Cynthia Hendrayani</author>
  </authors>
  <commentList>
    <comment ref="F17" authorId="0">
      <text>
        <r>
          <rPr>
            <b/>
            <sz val="8"/>
            <rFont val="Tahoma"/>
            <family val="2"/>
          </rPr>
          <t>Cynthia Hendrayani:</t>
        </r>
        <r>
          <rPr>
            <sz val="8"/>
            <rFont val="Tahoma"/>
            <family val="2"/>
          </rPr>
          <t xml:space="preserve">
Based on 8 months</t>
        </r>
      </text>
    </comment>
    <comment ref="F19" authorId="0">
      <text>
        <r>
          <rPr>
            <b/>
            <sz val="8"/>
            <rFont val="Tahoma"/>
            <family val="2"/>
          </rPr>
          <t>Cynthia Hendrayani :</t>
        </r>
        <r>
          <rPr>
            <sz val="8"/>
            <rFont val="Tahoma"/>
            <family val="2"/>
          </rPr>
          <t xml:space="preserve">
grow by 7%/year since 2009</t>
        </r>
      </text>
    </comment>
    <comment ref="G26" authorId="1">
      <text>
        <r>
          <rPr>
            <b/>
            <sz val="8"/>
            <rFont val="Tahoma"/>
            <family val="2"/>
          </rPr>
          <t>Cynthia Hendrayani:</t>
        </r>
        <r>
          <rPr>
            <sz val="8"/>
            <rFont val="Tahoma"/>
            <family val="2"/>
          </rPr>
          <t xml:space="preserve">
Based on 6 months, adjusted for 12 months</t>
        </r>
      </text>
    </comment>
  </commentList>
</comments>
</file>

<file path=xl/comments5.xml><?xml version="1.0" encoding="utf-8"?>
<comments xmlns="http://schemas.openxmlformats.org/spreadsheetml/2006/main">
  <authors>
    <author> </author>
    <author>Cynthia Hendrayani</author>
  </authors>
  <commentList>
    <comment ref="F17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Based on 8 months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grow by 7%/year since 2009</t>
        </r>
      </text>
    </comment>
    <comment ref="G26" authorId="1">
      <text>
        <r>
          <rPr>
            <b/>
            <sz val="8"/>
            <rFont val="Tahoma"/>
            <family val="2"/>
          </rPr>
          <t>Cynthia Hendrayani:</t>
        </r>
        <r>
          <rPr>
            <sz val="8"/>
            <rFont val="Tahoma"/>
            <family val="2"/>
          </rPr>
          <t xml:space="preserve">
Based on 6 months, adjusted for 12 months</t>
        </r>
      </text>
    </comment>
  </commentList>
</comments>
</file>

<file path=xl/comments6.xml><?xml version="1.0" encoding="utf-8"?>
<comments xmlns="http://schemas.openxmlformats.org/spreadsheetml/2006/main">
  <authors>
    <author> </author>
    <author>Cynthia Hendrayani</author>
  </authors>
  <commentList>
    <comment ref="F17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Based on 8 months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grow by 7%/year since 2009</t>
        </r>
      </text>
    </comment>
    <comment ref="G26" authorId="1">
      <text>
        <r>
          <rPr>
            <b/>
            <sz val="8"/>
            <rFont val="Tahoma"/>
            <family val="2"/>
          </rPr>
          <t>Cynthia Hendrayani:</t>
        </r>
        <r>
          <rPr>
            <sz val="8"/>
            <rFont val="Tahoma"/>
            <family val="2"/>
          </rPr>
          <t xml:space="preserve">
Based on 6 months, adjusted for 12 months</t>
        </r>
      </text>
    </comment>
  </commentList>
</comments>
</file>

<file path=xl/comments7.xml><?xml version="1.0" encoding="utf-8"?>
<comments xmlns="http://schemas.openxmlformats.org/spreadsheetml/2006/main">
  <authors>
    <author> </author>
    <author>Cynthia Hendrayani</author>
  </authors>
  <commentList>
    <comment ref="F18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Based on 8 months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grow by 7%/year since 2009</t>
        </r>
      </text>
    </comment>
    <comment ref="G27" authorId="1">
      <text>
        <r>
          <rPr>
            <b/>
            <sz val="8"/>
            <rFont val="Tahoma"/>
            <family val="2"/>
          </rPr>
          <t>Cynthia Hendrayani:</t>
        </r>
        <r>
          <rPr>
            <sz val="8"/>
            <rFont val="Tahoma"/>
            <family val="2"/>
          </rPr>
          <t xml:space="preserve">
Based on 6 months, adjusted for 12 months</t>
        </r>
      </text>
    </comment>
  </commentList>
</comments>
</file>

<file path=xl/comments8.xml><?xml version="1.0" encoding="utf-8"?>
<comments xmlns="http://schemas.openxmlformats.org/spreadsheetml/2006/main">
  <authors>
    <author>Cynthia Hendrayani</author>
    <author> </author>
  </authors>
  <commentList>
    <comment ref="F29" authorId="0">
      <text>
        <r>
          <rPr>
            <b/>
            <sz val="8"/>
            <rFont val="Tahoma"/>
            <family val="2"/>
          </rPr>
          <t>Cynthia Hendrayani:</t>
        </r>
        <r>
          <rPr>
            <sz val="8"/>
            <rFont val="Tahoma"/>
            <family val="2"/>
          </rPr>
          <t xml:space="preserve">
Calculated using ideal gas equation for 100% methane at STP
</t>
        </r>
      </text>
    </comment>
    <comment ref="F40" authorId="0">
      <text>
        <r>
          <rPr>
            <b/>
            <sz val="8"/>
            <rFont val="Tahoma"/>
            <family val="2"/>
          </rPr>
          <t>Cynthia Hendrayani:</t>
        </r>
        <r>
          <rPr>
            <sz val="8"/>
            <rFont val="Tahoma"/>
            <family val="2"/>
          </rPr>
          <t xml:space="preserve">
2006 IPCC Table 1.2</t>
        </r>
      </text>
    </comment>
    <comment ref="F44" authorId="0">
      <text>
        <r>
          <rPr>
            <b/>
            <sz val="8"/>
            <rFont val="Tahoma"/>
            <family val="2"/>
          </rPr>
          <t>Cynthia Hendrayani:</t>
        </r>
        <r>
          <rPr>
            <sz val="8"/>
            <rFont val="Tahoma"/>
            <family val="2"/>
          </rPr>
          <t xml:space="preserve">
Based on mid-rank sub-bituminous coal 5100kcal/kg</t>
        </r>
      </text>
    </comment>
    <comment ref="F43" authorId="1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Based on Residual Fuel
</t>
        </r>
      </text>
    </comment>
    <comment ref="F45" authorId="1">
      <text>
        <r>
          <rPr>
            <sz val="8"/>
            <rFont val="Tahoma"/>
            <family val="2"/>
          </rPr>
          <t xml:space="preserve">CH: Default value of IPCC Table 1.2
</t>
        </r>
      </text>
    </comment>
    <comment ref="D21" authorId="0">
      <text>
        <r>
          <rPr>
            <b/>
            <sz val="8"/>
            <rFont val="Tahoma"/>
            <family val="0"/>
          </rPr>
          <t>Cynthia Hendrayani:</t>
        </r>
        <r>
          <rPr>
            <sz val="8"/>
            <rFont val="Tahoma"/>
            <family val="0"/>
          </rPr>
          <t xml:space="preserve">
No IPP uses oil-based fuel</t>
        </r>
      </text>
    </comment>
    <comment ref="D5" authorId="0">
      <text>
        <r>
          <rPr>
            <b/>
            <sz val="8"/>
            <rFont val="Tahoma"/>
            <family val="0"/>
          </rPr>
          <t>Cynthia Hendrayani:</t>
        </r>
        <r>
          <rPr>
            <sz val="8"/>
            <rFont val="Tahoma"/>
            <family val="0"/>
          </rPr>
          <t xml:space="preserve">
IPP Data has been added as per information provided by PLN (data is provided in 2005IPP worksheet)</t>
        </r>
      </text>
    </comment>
    <comment ref="C22" authorId="0">
      <text>
        <r>
          <rPr>
            <b/>
            <sz val="8"/>
            <rFont val="Tahoma"/>
            <family val="2"/>
          </rPr>
          <t>Cynthia Hendrayani:</t>
        </r>
        <r>
          <rPr>
            <sz val="8"/>
            <rFont val="Tahoma"/>
            <family val="2"/>
          </rPr>
          <t xml:space="preserve">
Consumption of coal increases significantly due to the incoming Muara Tawar Power Plant, Tanjung Jati I, Cilacap Power Plants in 2006. </t>
        </r>
      </text>
    </comment>
    <comment ref="D22" authorId="0">
      <text>
        <r>
          <rPr>
            <b/>
            <sz val="8"/>
            <rFont val="Tahoma"/>
            <family val="2"/>
          </rPr>
          <t>Cynthia Hendrayani:</t>
        </r>
        <r>
          <rPr>
            <sz val="8"/>
            <rFont val="Tahoma"/>
            <family val="2"/>
          </rPr>
          <t xml:space="preserve">
2005 IPP Data is included covers only Paiton PEC and Jawa Power</t>
        </r>
      </text>
    </comment>
    <comment ref="D23" authorId="0">
      <text>
        <r>
          <rPr>
            <b/>
            <sz val="8"/>
            <rFont val="Tahoma"/>
            <family val="2"/>
          </rPr>
          <t>Cynthia Hendrayani:</t>
        </r>
        <r>
          <rPr>
            <sz val="8"/>
            <rFont val="Tahoma"/>
            <family val="2"/>
          </rPr>
          <t xml:space="preserve">
2005 IPP Data is included covers only Cikarang Listrindo</t>
        </r>
      </text>
    </comment>
  </commentList>
</comments>
</file>

<file path=xl/comments9.xml><?xml version="1.0" encoding="utf-8"?>
<comments xmlns="http://schemas.openxmlformats.org/spreadsheetml/2006/main">
  <authors>
    <author>Cynthia Hendrayani</author>
  </authors>
  <commentList>
    <comment ref="E5" authorId="0">
      <text>
        <r>
          <rPr>
            <b/>
            <sz val="8"/>
            <rFont val="Tahoma"/>
            <family val="2"/>
          </rPr>
          <t>Cynthia Hendrayani:</t>
        </r>
        <r>
          <rPr>
            <sz val="8"/>
            <rFont val="Tahoma"/>
            <family val="2"/>
          </rPr>
          <t xml:space="preserve">
SFC=Specific Fuel Consumption, based on PLN publication (2007 Report)</t>
        </r>
      </text>
    </comment>
    <comment ref="D14" authorId="0">
      <text>
        <r>
          <rPr>
            <b/>
            <sz val="8"/>
            <rFont val="Tahoma"/>
            <family val="2"/>
          </rPr>
          <t>Cynthia Hendrayani:</t>
        </r>
        <r>
          <rPr>
            <sz val="8"/>
            <rFont val="Tahoma"/>
            <family val="2"/>
          </rPr>
          <t xml:space="preserve">
PT Krakatau Daya is excluded as its SFC is unknown</t>
        </r>
      </text>
    </comment>
    <comment ref="D22" authorId="0">
      <text>
        <r>
          <rPr>
            <b/>
            <sz val="8"/>
            <rFont val="Tahoma"/>
            <family val="2"/>
          </rPr>
          <t>Cynthia Hendrayani:</t>
        </r>
        <r>
          <rPr>
            <sz val="8"/>
            <rFont val="Tahoma"/>
            <family val="2"/>
          </rPr>
          <t xml:space="preserve">
Converted based on:
9.486*10^-4 TBTU/TJ
35.314 SCF/M3
</t>
        </r>
      </text>
    </comment>
  </commentList>
</comments>
</file>

<file path=xl/sharedStrings.xml><?xml version="1.0" encoding="utf-8"?>
<sst xmlns="http://schemas.openxmlformats.org/spreadsheetml/2006/main" count="960" uniqueCount="397">
  <si>
    <t>Steam Enthalpy</t>
  </si>
  <si>
    <t>unit</t>
  </si>
  <si>
    <t>MJ/t</t>
  </si>
  <si>
    <t>Value</t>
  </si>
  <si>
    <t>Flowrate</t>
  </si>
  <si>
    <t>t/hr</t>
  </si>
  <si>
    <t>Operation hour</t>
  </si>
  <si>
    <t>hr/yr</t>
  </si>
  <si>
    <t>TJ/yr</t>
  </si>
  <si>
    <t>Residue boiler efficiency</t>
  </si>
  <si>
    <t>fraction</t>
  </si>
  <si>
    <t>Electricity Output</t>
  </si>
  <si>
    <t>MW</t>
  </si>
  <si>
    <t xml:space="preserve">Operation hour </t>
  </si>
  <si>
    <t>Electrical generation efficiency (Max)</t>
  </si>
  <si>
    <t>Energy Input for Heat Generation</t>
  </si>
  <si>
    <t>Energy Input for Electricity Generation</t>
  </si>
  <si>
    <t>Total Energy Input</t>
  </si>
  <si>
    <t>Heat Generation</t>
  </si>
  <si>
    <t>Electrical Generation</t>
  </si>
  <si>
    <t xml:space="preserve">Baseline </t>
  </si>
  <si>
    <t>Total</t>
  </si>
  <si>
    <t>Project</t>
  </si>
  <si>
    <t>Heat Generation (Waste heat boiler)</t>
  </si>
  <si>
    <t>Total Energy Savings</t>
  </si>
  <si>
    <t>General Information</t>
  </si>
  <si>
    <t>Unit</t>
  </si>
  <si>
    <t>Project Electrical Output (Gross)</t>
  </si>
  <si>
    <t>Project Electrical Output (Net)</t>
  </si>
  <si>
    <t>Project Load</t>
  </si>
  <si>
    <t>Steam Flowrate</t>
  </si>
  <si>
    <t>Operational hour</t>
  </si>
  <si>
    <t>BASELINE EMISSIONS</t>
  </si>
  <si>
    <t>Emission associated with displacement of residue oil</t>
  </si>
  <si>
    <t>ABEC</t>
  </si>
  <si>
    <t>Energy that would have been consumed to generate heat in the baseline</t>
  </si>
  <si>
    <t>Heat generated by the baseline boiler equivalent to the project output</t>
  </si>
  <si>
    <t>EB</t>
  </si>
  <si>
    <t>Efficiency of baseline boiler</t>
  </si>
  <si>
    <t>CO2 emission factor of combustion of residue oil</t>
  </si>
  <si>
    <t>CH4 emission factor of combustion of residue oil</t>
  </si>
  <si>
    <t>N2O emission factor of combustion of residue oil</t>
  </si>
  <si>
    <t>t-CO2/TJ</t>
  </si>
  <si>
    <t>t-CH4/TJ</t>
  </si>
  <si>
    <t>t-N2O/TJ</t>
  </si>
  <si>
    <t>GWP_CO2</t>
  </si>
  <si>
    <t>GWP_CH4</t>
  </si>
  <si>
    <t>GWP_N2O</t>
  </si>
  <si>
    <t>Global warming potential of CO2</t>
  </si>
  <si>
    <t>Global warming potential of CH4</t>
  </si>
  <si>
    <t>Global warming potential of N2O</t>
  </si>
  <si>
    <t>t-CO2/t-CO2</t>
  </si>
  <si>
    <t>t-CO2/t-CH4</t>
  </si>
  <si>
    <t>t-CO2/t-N2O</t>
  </si>
  <si>
    <t>Baseline emission from displacement of residue oil</t>
  </si>
  <si>
    <t>JAVA - BALI ELECTRICITY GRID DATA</t>
  </si>
  <si>
    <t>published by PLN in their website not inclusive of power generated by IPP</t>
  </si>
  <si>
    <t>Fuel Type</t>
  </si>
  <si>
    <t>Source</t>
  </si>
  <si>
    <t>Generating Capacity (GWhr)</t>
  </si>
  <si>
    <t>Geothermal</t>
  </si>
  <si>
    <t>Type</t>
  </si>
  <si>
    <t>Coal</t>
  </si>
  <si>
    <t>PLTA</t>
  </si>
  <si>
    <t>Hydroelectric</t>
  </si>
  <si>
    <t>PLTU</t>
  </si>
  <si>
    <t>Tanjung Jati B</t>
  </si>
  <si>
    <t>PLTG</t>
  </si>
  <si>
    <t>Natural Gas</t>
  </si>
  <si>
    <t>PLTGU</t>
  </si>
  <si>
    <t>PLTP</t>
  </si>
  <si>
    <t>PLTD</t>
  </si>
  <si>
    <t>Total (GWh)</t>
  </si>
  <si>
    <t>Cilacap</t>
  </si>
  <si>
    <t>Cilegon</t>
  </si>
  <si>
    <t>Fuel Usage</t>
  </si>
  <si>
    <t>Fuel Oil (kL=1m3)</t>
  </si>
  <si>
    <t>High Speed Diesel</t>
  </si>
  <si>
    <t>Industrial Diesel Oil</t>
  </si>
  <si>
    <t>Marine Fuel Oil</t>
  </si>
  <si>
    <t>Total Fuel Oil</t>
  </si>
  <si>
    <t>Coal (T)</t>
  </si>
  <si>
    <t>Conversion Data</t>
  </si>
  <si>
    <t>kg/m3</t>
  </si>
  <si>
    <t>Fuel Usage (kT)</t>
  </si>
  <si>
    <t>IPCC Data</t>
  </si>
  <si>
    <t>NCV</t>
  </si>
  <si>
    <t>EF-CO2</t>
  </si>
  <si>
    <t>TJ/kT</t>
  </si>
  <si>
    <t>T-CO2/TJ</t>
  </si>
  <si>
    <t>Carbon Emission (T_CO2)</t>
  </si>
  <si>
    <t>Total CO2 Emission (T_CO2)</t>
  </si>
  <si>
    <t>Operating Margin</t>
  </si>
  <si>
    <t>Total Power Generated (MWh)</t>
  </si>
  <si>
    <t>Recently Built Power Plants</t>
  </si>
  <si>
    <t>MWh/yr</t>
  </si>
  <si>
    <t>t-CO2/yr</t>
  </si>
  <si>
    <t>Emission associated with displacement of grid electricity</t>
  </si>
  <si>
    <t>CEO</t>
  </si>
  <si>
    <t>Net electricity generation</t>
  </si>
  <si>
    <t>EFY</t>
  </si>
  <si>
    <t>Grid emission factor</t>
  </si>
  <si>
    <t>t-CO2/MWh</t>
  </si>
  <si>
    <t>BEELEC</t>
  </si>
  <si>
    <t>Baseline emission from displacement of grid electricity</t>
  </si>
  <si>
    <t>PROJECT EMISSIONS</t>
  </si>
  <si>
    <t>VNG</t>
  </si>
  <si>
    <t>Amt. of natural gas consumed by project</t>
  </si>
  <si>
    <t>NCVNG</t>
  </si>
  <si>
    <t>EF_CO2_R</t>
  </si>
  <si>
    <t>EF_CH4_R</t>
  </si>
  <si>
    <t>EF_N2O_R</t>
  </si>
  <si>
    <t>EF_CO2_NG</t>
  </si>
  <si>
    <t>EF_CH4_NG</t>
  </si>
  <si>
    <t>EF_N2O_NG</t>
  </si>
  <si>
    <t>CO2 emission factor of combustion of NG</t>
  </si>
  <si>
    <t>CH4 emission factor of combustion of NG</t>
  </si>
  <si>
    <t>N2O emission factor of combustion of NG</t>
  </si>
  <si>
    <t>m3/yr</t>
  </si>
  <si>
    <t>Project emisssions associated with combustion of natural gas</t>
  </si>
  <si>
    <t>PENG</t>
  </si>
  <si>
    <t>Project emission associated with combustion of natural gas</t>
  </si>
  <si>
    <t>LEAKAGE EMISSION</t>
  </si>
  <si>
    <t>Methane leakage rate</t>
  </si>
  <si>
    <t>Gas production</t>
  </si>
  <si>
    <t xml:space="preserve">Gas </t>
  </si>
  <si>
    <t>Gas transmission &amp; storage</t>
  </si>
  <si>
    <t>Gas distribution</t>
  </si>
  <si>
    <t>Amt of natural gas consumed</t>
  </si>
  <si>
    <t>LE</t>
  </si>
  <si>
    <t>Leakage emissions associated with natural gas production, etc.</t>
  </si>
  <si>
    <t>Gg-CH4/10^6m3</t>
  </si>
  <si>
    <t>Leakage emissions associated with natural gas production</t>
  </si>
  <si>
    <t>EMISSION REDUCTION</t>
  </si>
  <si>
    <t>Total Project Costs</t>
  </si>
  <si>
    <t>Project Parameters</t>
  </si>
  <si>
    <t>Exchange Rate</t>
  </si>
  <si>
    <t>IDR/USD</t>
  </si>
  <si>
    <t>Natural gas costs</t>
  </si>
  <si>
    <t xml:space="preserve">Initial Natural Gas Price </t>
  </si>
  <si>
    <t>/MMBTU</t>
  </si>
  <si>
    <t>/TJ</t>
  </si>
  <si>
    <t>Steam Sales Rates</t>
  </si>
  <si>
    <t>/tonnes</t>
  </si>
  <si>
    <t>/kWh</t>
  </si>
  <si>
    <t>Electricity Price from PLN</t>
  </si>
  <si>
    <t>Electricity Price to users</t>
  </si>
  <si>
    <t>CASH FLOW ANALYSIS</t>
  </si>
  <si>
    <t>FINANCIAL PARAMETERS</t>
  </si>
  <si>
    <t>Year</t>
  </si>
  <si>
    <t>Capital Expenditure</t>
  </si>
  <si>
    <t>Sales Revenue</t>
  </si>
  <si>
    <t>Steam</t>
  </si>
  <si>
    <t>Power</t>
  </si>
  <si>
    <t>Annual Increased Rate</t>
  </si>
  <si>
    <t>Emission Reduction</t>
  </si>
  <si>
    <t>CER Price</t>
  </si>
  <si>
    <t>IRR</t>
  </si>
  <si>
    <t>BER</t>
  </si>
  <si>
    <t>Natural Gas (MMSCF)</t>
  </si>
  <si>
    <t>Purchased (IPP)</t>
  </si>
  <si>
    <t>Muara Tawar 3-4</t>
  </si>
  <si>
    <t>Wayang Windhu</t>
  </si>
  <si>
    <t>Paiton (PEC)</t>
  </si>
  <si>
    <t>Jawa Power</t>
  </si>
  <si>
    <t>Total annual generation from sample group m</t>
  </si>
  <si>
    <t>Total annual generation from all power plants attached to the grid</t>
  </si>
  <si>
    <t xml:space="preserve">% of newly installed plant from overall generation </t>
  </si>
  <si>
    <t>2006 Build Margin</t>
  </si>
  <si>
    <t>annual generation</t>
  </si>
  <si>
    <t>fuel consumption</t>
  </si>
  <si>
    <t>CO2 emission</t>
  </si>
  <si>
    <t>tCO2/yr</t>
  </si>
  <si>
    <t>in kT</t>
  </si>
  <si>
    <t>gas</t>
  </si>
  <si>
    <t>coal</t>
  </si>
  <si>
    <t>geothermal</t>
  </si>
  <si>
    <t>Total emissions from sample group m</t>
  </si>
  <si>
    <t>Total generations from sample group m</t>
  </si>
  <si>
    <t>Build margin emission factor</t>
  </si>
  <si>
    <t>MWh</t>
  </si>
  <si>
    <t>tCO2/MWh</t>
  </si>
  <si>
    <t>Emission Factor of Grid</t>
  </si>
  <si>
    <t>Accumulative</t>
  </si>
  <si>
    <t>%</t>
  </si>
  <si>
    <t>tCO2</t>
  </si>
  <si>
    <t>Based www.pertamina.co.id</t>
  </si>
  <si>
    <t>MFO</t>
  </si>
  <si>
    <t>Diesel Oil</t>
  </si>
  <si>
    <t>HSD</t>
  </si>
  <si>
    <t>HSD+Diesel Oil</t>
  </si>
  <si>
    <t>Average Operating Margin Emission Factor (T_CO2/MWh)</t>
  </si>
  <si>
    <t>hsd</t>
  </si>
  <si>
    <t>% of low cost must run</t>
  </si>
  <si>
    <t>Steam rate goes up to Rp65</t>
  </si>
  <si>
    <t>CAHO</t>
  </si>
  <si>
    <t>PLN Rate is increased by 5%</t>
  </si>
  <si>
    <t>Generation (GWh)</t>
  </si>
  <si>
    <t>SFC</t>
  </si>
  <si>
    <t>Fuel Consumption</t>
  </si>
  <si>
    <t>Units</t>
  </si>
  <si>
    <t>PO Jatiluhur</t>
  </si>
  <si>
    <t>Hydro</t>
  </si>
  <si>
    <t>kT</t>
  </si>
  <si>
    <t>MMSCF</t>
  </si>
  <si>
    <t>PT Cikarang</t>
  </si>
  <si>
    <t>1000 GBTU</t>
  </si>
  <si>
    <t>PT DSP/Salak</t>
  </si>
  <si>
    <t>PT Geo Dipa Eng</t>
  </si>
  <si>
    <t>PT Paiton (PEC)</t>
  </si>
  <si>
    <t>PT Jawa Power</t>
  </si>
  <si>
    <t>PT Magma Nusantara</t>
  </si>
  <si>
    <t>PT Amoseas Inc</t>
  </si>
  <si>
    <t>PT Krakatau Jaya</t>
  </si>
  <si>
    <t>Unknown</t>
  </si>
  <si>
    <t xml:space="preserve">The following generation data is provided by PLN covers only all IPPs exporting power to PLN to compliment Table 23 of 2005 data published by PLN. </t>
  </si>
  <si>
    <t xml:space="preserve">Since, no fuel consumption data is provided. It is estimated based on Specific Fuel Consumption of corresponding plant (non-Renewable) in 2006. </t>
  </si>
  <si>
    <t xml:space="preserve">Fuel Consumption </t>
  </si>
  <si>
    <t>2005 IPP Power Plants</t>
  </si>
  <si>
    <t>N/A</t>
  </si>
  <si>
    <t>N/R</t>
  </si>
  <si>
    <t>Not Available</t>
  </si>
  <si>
    <t>Not Relevant</t>
  </si>
  <si>
    <t>Name</t>
  </si>
  <si>
    <t>Owner</t>
  </si>
  <si>
    <t>Own Usage %</t>
  </si>
  <si>
    <t>SFC P3B</t>
  </si>
  <si>
    <t>Capacity</t>
  </si>
  <si>
    <t xml:space="preserve"> Generation (GWh)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</si>
  <si>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</si>
  <si>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</si>
  <si>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</si>
  <si>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</si>
  <si>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</si>
  <si>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</si>
  <si>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</si>
  <si>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</si>
  <si>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</si>
  <si>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</si>
  <si>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</si>
  <si>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</si>
  <si>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CF</t>
  </si>
  <si>
    <t>Total Fuel</t>
  </si>
  <si>
    <t>Saguling</t>
  </si>
  <si>
    <t>INER</t>
  </si>
  <si>
    <t>HYDRO</t>
  </si>
  <si>
    <t>GWH</t>
  </si>
  <si>
    <t>Area 1</t>
  </si>
  <si>
    <t>Area 2</t>
  </si>
  <si>
    <t>Area 3</t>
  </si>
  <si>
    <t>Suralaya 1-4</t>
  </si>
  <si>
    <t>COAL</t>
  </si>
  <si>
    <t>KTON</t>
  </si>
  <si>
    <t>Suralaya 5-7</t>
  </si>
  <si>
    <t xml:space="preserve">Priok </t>
  </si>
  <si>
    <t>1000 KL</t>
  </si>
  <si>
    <t>Tbrok 1-3</t>
  </si>
  <si>
    <t>Perak 3-4</t>
  </si>
  <si>
    <t>Priok (G)</t>
  </si>
  <si>
    <t>GAS</t>
  </si>
  <si>
    <t>Priok (M)</t>
  </si>
  <si>
    <t>Tbrok</t>
  </si>
  <si>
    <t>Grati (CC)</t>
  </si>
  <si>
    <t>Grati (B-II)</t>
  </si>
  <si>
    <t>Sunyaragi (G)</t>
  </si>
  <si>
    <t>Sunyaragi (M)</t>
  </si>
  <si>
    <t>Pesanggaran(M)</t>
  </si>
  <si>
    <t>Gilimanuk</t>
  </si>
  <si>
    <t>Pemaron</t>
  </si>
  <si>
    <t>Kamojang</t>
  </si>
  <si>
    <t>GEOTH</t>
  </si>
  <si>
    <t>Salak</t>
  </si>
  <si>
    <t>Drajat</t>
  </si>
  <si>
    <t>Cirata</t>
  </si>
  <si>
    <t>PJB</t>
  </si>
  <si>
    <t>BrMtas</t>
  </si>
  <si>
    <t>Area 4</t>
  </si>
  <si>
    <t>Paiton</t>
  </si>
  <si>
    <t>M.Karang 4-5(M)</t>
  </si>
  <si>
    <t>M.Karang 1-3(M)</t>
  </si>
  <si>
    <t>Gresik 3-4(M)</t>
  </si>
  <si>
    <t>Gresik 1-2(M)</t>
  </si>
  <si>
    <t>M.Karng</t>
  </si>
  <si>
    <t>Gresik Blok 1(G)</t>
  </si>
  <si>
    <t>Gresik Blok 2(G)</t>
  </si>
  <si>
    <t>Gresik Blok 2(M)</t>
  </si>
  <si>
    <t>Gresik Blok 3(G)</t>
  </si>
  <si>
    <t>Muaratawar Blok 1</t>
  </si>
  <si>
    <t>Muaratawar Blok 2</t>
  </si>
  <si>
    <t xml:space="preserve">Gresik </t>
  </si>
  <si>
    <t xml:space="preserve">Gili Timur </t>
  </si>
  <si>
    <t>Muaratawar 3-4</t>
  </si>
  <si>
    <t>PMT</t>
  </si>
  <si>
    <t>Jatiluhur</t>
  </si>
  <si>
    <t>IPP</t>
  </si>
  <si>
    <t>Cikarng L.</t>
  </si>
  <si>
    <t>Dieng</t>
  </si>
  <si>
    <t>W.Windu</t>
  </si>
  <si>
    <t>Drajat.S</t>
  </si>
  <si>
    <t>PEC</t>
  </si>
  <si>
    <t>Tj. Jati. B Unit 1</t>
  </si>
  <si>
    <t>Tj. Jati. B Unit 2</t>
  </si>
  <si>
    <t>Cllacap Unit 1</t>
  </si>
  <si>
    <t>Cilacap Unit 2</t>
  </si>
  <si>
    <t>Cilegon (OC)</t>
  </si>
  <si>
    <t>Cilegon (CC)</t>
  </si>
  <si>
    <t>Values</t>
  </si>
  <si>
    <t>Row Labels</t>
  </si>
  <si>
    <t>Sum of  Generation (GWh)</t>
  </si>
  <si>
    <t>Sum of Fossil Fuel kT</t>
  </si>
  <si>
    <t>Sum of Total Fuel</t>
  </si>
  <si>
    <t>Grand Total</t>
  </si>
  <si>
    <t>Coal (kT)</t>
  </si>
  <si>
    <t xml:space="preserve">2006 Consumption </t>
  </si>
  <si>
    <t>Renewable energy generations (Low-Cost/Must Run)</t>
  </si>
  <si>
    <t>Total from energy generations excluding Low-Cost/Must Run</t>
  </si>
  <si>
    <t>Assumed low-cost/must-run</t>
  </si>
  <si>
    <t>Estimation of project activity emissions</t>
  </si>
  <si>
    <t>Estimation of baseline emissions</t>
  </si>
  <si>
    <t>Estimation of leakage</t>
  </si>
  <si>
    <t>Estimation of overall emission reduction</t>
  </si>
  <si>
    <t xml:space="preserve">Net calorific value of natural gas </t>
  </si>
  <si>
    <t>TJ/kg</t>
  </si>
  <si>
    <t>Load is increased to 95%</t>
  </si>
  <si>
    <t>AEC</t>
  </si>
  <si>
    <t>Annual natural gas consumption in energy unit</t>
  </si>
  <si>
    <t>Column1</t>
  </si>
  <si>
    <t>Column2</t>
  </si>
  <si>
    <t>MEN-Tangerang 13.6MW Natural Gas Co-generation Project</t>
  </si>
  <si>
    <t>Emission Reduction Calculation</t>
  </si>
  <si>
    <t>Content Description</t>
  </si>
  <si>
    <t>Financial Analysis of Project</t>
  </si>
  <si>
    <t>Sensitivity Scenario</t>
  </si>
  <si>
    <t>EMISSION</t>
  </si>
  <si>
    <t>FINANCE</t>
  </si>
  <si>
    <t>FSA-0</t>
  </si>
  <si>
    <t>FSA-1</t>
  </si>
  <si>
    <t>FSA-2</t>
  </si>
  <si>
    <t>FSA-3</t>
  </si>
  <si>
    <t>GRID-EF</t>
  </si>
  <si>
    <t>RD-2005IPP</t>
  </si>
  <si>
    <t>RD-2006ALL</t>
  </si>
  <si>
    <t>RD-2006DataAnalysis</t>
  </si>
  <si>
    <t>ESAV</t>
  </si>
  <si>
    <t>WORKSHEET NAME</t>
  </si>
  <si>
    <t>Sensitivity Analysis of the Project with exchange rate as defining parameter</t>
  </si>
  <si>
    <t>Sensitivity Analysis of the Project with power revenue as defining parameter</t>
  </si>
  <si>
    <t>Sensitivity Analysis of the Project with steam revenue as defining parameter</t>
  </si>
  <si>
    <t>Sensitivity Analysis of the Project with operating load as defining parameter</t>
  </si>
  <si>
    <t>Summary of 2006 JAMALI Grid Emission Factor Calculation</t>
  </si>
  <si>
    <t>Raw Data obtained from PLN P3B for IPP Generation &amp; its associated fuel consumption</t>
  </si>
  <si>
    <t>Raw Data obtained from PLN P3B for all power plants from the grid</t>
  </si>
  <si>
    <t>Data analysis from RD-2006ALL</t>
  </si>
  <si>
    <t>Calculation of energy savings resulting from this Project activity</t>
  </si>
  <si>
    <t>WORKSHEET SUMMARY</t>
  </si>
  <si>
    <t>This spreadsheet corresponds with the following PDD:</t>
  </si>
  <si>
    <t>Overhead</t>
  </si>
  <si>
    <t>Other costs</t>
  </si>
  <si>
    <t>Operating Expense</t>
  </si>
  <si>
    <t>Total Sales Revenue</t>
  </si>
  <si>
    <t>Total Overhead</t>
  </si>
  <si>
    <t>Net Cash Flow</t>
  </si>
  <si>
    <t>Revenue from CDM</t>
  </si>
  <si>
    <t>Summary to sensitivity analysis</t>
  </si>
  <si>
    <t>Resulting IRR</t>
  </si>
  <si>
    <t>Benchmark</t>
  </si>
  <si>
    <t>Typical Bank Charges</t>
  </si>
  <si>
    <t>Benchmark Return</t>
  </si>
  <si>
    <t>SBI</t>
  </si>
  <si>
    <t>Exchange Rate is improved to Rp9025</t>
  </si>
  <si>
    <t>CDM Revenue</t>
  </si>
  <si>
    <t>Cash Flow</t>
  </si>
  <si>
    <t>Exchange Rate is improved by 5%</t>
  </si>
  <si>
    <t>PLTA Total</t>
  </si>
  <si>
    <t>PLTD Total</t>
  </si>
  <si>
    <t>PLTG Total</t>
  </si>
  <si>
    <t>PLTGU Total</t>
  </si>
  <si>
    <t>PLTP Total</t>
  </si>
  <si>
    <t>(blank)</t>
  </si>
  <si>
    <t>PLTU Total</t>
  </si>
  <si>
    <t>All Power Plants Generations (GWh)</t>
  </si>
  <si>
    <t>IPP Generations (GWh)</t>
  </si>
  <si>
    <t>Power from Low cost/must-run sources</t>
  </si>
  <si>
    <t>Power from non-Low-Cost Must Run Sources(MWh)</t>
  </si>
  <si>
    <t>Low-cost Must Run</t>
  </si>
  <si>
    <t>Electrical output at 95% load</t>
  </si>
  <si>
    <t>Electrical load increased to 95%</t>
  </si>
  <si>
    <t xml:space="preserve">This analysis is derived from the Master Table in RD-2006ALL provided by PT-PLN P3B using PIVOT Table. </t>
  </si>
  <si>
    <t>Gas processing (default weighted total)</t>
  </si>
  <si>
    <t>Realistic Return</t>
  </si>
  <si>
    <t>D_NG</t>
  </si>
  <si>
    <t>Density of natural gas</t>
  </si>
  <si>
    <t>Density of HSD</t>
  </si>
  <si>
    <t xml:space="preserve">Density of Diesel Oil </t>
  </si>
  <si>
    <t>Density of MFO</t>
  </si>
  <si>
    <t>Density of Natural Gas</t>
  </si>
  <si>
    <t>ID-MEN-TNG-PDD Version 6.1.3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</si>
</sst>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%"/>
    <numFmt numFmtId="182" formatCode="_-* #,##0.000_-;\-* #,##0.000_-;_-* &quot;-&quot;??_-;_-@_-"/>
    <numFmt numFmtId="183" formatCode="_-* #,##0_-;\-* #,##0_-;_-* &quot;-&quot;??_-;_-@_-"/>
    <numFmt numFmtId="184" formatCode="_-[$$-409]* #,##0.00_ ;_-[$$-409]* \-#,##0.00\ ;_-[$$-409]* &quot;-&quot;??_ ;_-@_ "/>
    <numFmt numFmtId="185" formatCode="_-[$$-409]* #,##0.000_ ;_-[$$-409]* \-#,##0.000\ ;_-[$$-409]* &quot;-&quot;??_ ;_-@_ "/>
    <numFmt numFmtId="186" formatCode="_-[$$-409]* #,##0.0_ ;_-[$$-409]* \-#,##0.0\ ;_-[$$-409]* &quot;-&quot;??_ ;_-@_ "/>
    <numFmt numFmtId="187" formatCode="_-[$$-409]* #,##0_ ;_-[$$-409]* \-#,##0\ ;_-[$$-409]* &quot;-&quot;??_ ;_-@_ "/>
    <numFmt numFmtId="188" formatCode="_-[$IDR]\ * #,##0_-;\-[$IDR]\ * #,##0_-;_-[$IDR]\ * &quot;-&quot;_-;_-@_-"/>
    <numFmt numFmtId="189" formatCode="General_)"/>
    <numFmt numFmtId="190" formatCode="_(* #,##0_);_(* \(#,##0\);_(* &quot;-&quot;??_);_(@_)"/>
    <numFmt numFmtId="191" formatCode="0.0"/>
    <numFmt numFmtId="192" formatCode="_(* #,##0.000_);_(* \(#,##0.000\);_(* &quot;-&quot;???_);_(@_)"/>
    <numFmt numFmtId="193" formatCode="_(* #,##0.0000_);_(* \(#,##0.0000\);_(* &quot;-&quot;????_);_(@_)"/>
    <numFmt numFmtId="194" formatCode="0.0000000"/>
    <numFmt numFmtId="195" formatCode="0.000000"/>
    <numFmt numFmtId="196" formatCode="0.00000"/>
    <numFmt numFmtId="197" formatCode="0.0000"/>
    <numFmt numFmtId="198" formatCode="_-* #,##0.0_-;\-* #,##0.0_-;_-* &quot;-&quot;??_-;_-@_-"/>
    <numFmt numFmtId="199" formatCode="0.000%"/>
    <numFmt numFmtId="200" formatCode="_([$$-409]* #,##0.00_);_([$$-409]* \(#,##0.00\);_([$$-409]* &quot;-&quot;??_);_(@_)"/>
    <numFmt numFmtId="201" formatCode="_([$IDR]\ * #,##0.0_);_([$IDR]\ * \(#,##0.0\);_([$IDR]\ * &quot;-&quot;?_);_(@_)"/>
    <numFmt numFmtId="202" formatCode="_([$IDR]\ * #,##0.00_);_([$IDR]\ * \(#,##0.00\);_([$IDR]\ * &quot;-&quot;??_);_(@_)"/>
    <numFmt numFmtId="203" formatCode="\(0%\)"/>
    <numFmt numFmtId="204" formatCode="0_)"/>
    <numFmt numFmtId="205" formatCode="_-* #,##0.0000_-;\-* #,##0.0000_-;_-* &quot;-&quot;??_-;_-@_-"/>
    <numFmt numFmtId="206" formatCode="0.00000000"/>
    <numFmt numFmtId="207" formatCode="_-* #,##0.00000_-;\-* #,##0.00000_-;_-* &quot;-&quot;??_-;_-@_-"/>
    <numFmt numFmtId="208" formatCode="_-* #,##0.000000_-;\-* #,##0.000000_-;_-* &quot;-&quot;??_-;_-@_-"/>
    <numFmt numFmtId="209" formatCode="_-* #,##0.0000000_-;\-* #,##0.0000000_-;_-* &quot;-&quot;??_-;_-@_-"/>
    <numFmt numFmtId="210" formatCode="_-* #,##0.0000000_-;\-* #,##0.0000000_-;_-* &quot;-&quot;???????_-;_-@_-"/>
    <numFmt numFmtId="211" formatCode="_-* #,##0.00000000_-;\-* #,##0.00000000_-;_-* &quot;-&quot;??_-;_-@_-"/>
    <numFmt numFmtId="212" formatCode="_-* #,##0.000_-;\-* #,##0.000_-;_-* &quot;-&quot;???_-;_-@_-"/>
    <numFmt numFmtId="213" formatCode="_-[$IDR]\ * #,##0.00_-;\-[$IDR]\ * #,##0.00_-;_-[$IDR]\ * &quot;-&quot;??_-;_-@_-"/>
    <numFmt numFmtId="214" formatCode="_-[$USD]\ * #,##0_-;\-[$USD]\ * #,##0_-;_-[$USD]\ * &quot;-&quot;_-;_-@_-"/>
    <numFmt numFmtId="215" formatCode="_-[$$-409]* #,##0.0000_ ;_-[$$-409]* \-#,##0.0000\ ;_-[$$-409]* &quot;-&quot;??_ ;_-@_ "/>
  </numFmts>
  <fonts count="33">
    <font>
      <sz val="11"/>
      <color indexed="8"/>
      <name val="Calibri"/>
      <family val="2"/>
    </font>
    <font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Arial"/>
      <family val="0"/>
    </font>
    <font>
      <sz val="7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sz val="26"/>
      <color indexed="57"/>
      <name val="Times New Roman"/>
      <family val="1"/>
    </font>
    <font>
      <sz val="11"/>
      <color indexed="8"/>
      <name val="Times New Roman"/>
      <family val="1"/>
    </font>
    <font>
      <b/>
      <sz val="11"/>
      <color indexed="57"/>
      <name val="Times New Roman"/>
      <family val="1"/>
    </font>
    <font>
      <u val="single"/>
      <sz val="11"/>
      <color indexed="12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57"/>
      </bottom>
    </border>
    <border>
      <left style="thin">
        <color indexed="11"/>
      </left>
      <right style="thin">
        <color indexed="11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57"/>
      </bottom>
    </border>
    <border>
      <left style="thin">
        <color indexed="11"/>
      </left>
      <right style="thin">
        <color indexed="11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57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1"/>
      </left>
      <right style="thin">
        <color indexed="57"/>
      </right>
      <top>
        <color indexed="63"/>
      </top>
      <bottom>
        <color indexed="63"/>
      </bottom>
    </border>
    <border>
      <left style="thin">
        <color indexed="11"/>
      </left>
      <right>
        <color indexed="63"/>
      </right>
      <top style="thin">
        <color indexed="57"/>
      </top>
      <bottom>
        <color indexed="63"/>
      </bottom>
    </border>
    <border>
      <left style="thin">
        <color indexed="11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0" fillId="20" borderId="1" applyNumberFormat="0" applyAlignment="0" applyProtection="0"/>
    <xf numFmtId="203" fontId="5" fillId="1" borderId="0" applyFill="0" applyBorder="0">
      <alignment/>
      <protection/>
    </xf>
    <xf numFmtId="0" fontId="11" fillId="21" borderId="2" applyNumberFormat="0" applyAlignment="0" applyProtection="0"/>
    <xf numFmtId="171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9" fontId="0" fillId="0" borderId="0" xfId="0" applyNumberFormat="1" applyAlignment="1">
      <alignment/>
    </xf>
    <xf numFmtId="171" fontId="0" fillId="0" borderId="0" xfId="45" applyFont="1" applyAlignment="1">
      <alignment/>
    </xf>
    <xf numFmtId="0" fontId="24" fillId="0" borderId="0" xfId="0" applyFont="1" applyAlignment="1">
      <alignment/>
    </xf>
    <xf numFmtId="171" fontId="0" fillId="0" borderId="0" xfId="0" applyNumberFormat="1" applyAlignment="1">
      <alignment/>
    </xf>
    <xf numFmtId="183" fontId="0" fillId="0" borderId="0" xfId="0" applyNumberFormat="1" applyAlignment="1">
      <alignment/>
    </xf>
    <xf numFmtId="183" fontId="0" fillId="0" borderId="0" xfId="45" applyNumberFormat="1" applyFont="1" applyAlignment="1">
      <alignment/>
    </xf>
    <xf numFmtId="0" fontId="0" fillId="10" borderId="8" xfId="23" applyBorder="1" applyAlignment="1">
      <alignment/>
    </xf>
    <xf numFmtId="183" fontId="0" fillId="10" borderId="8" xfId="23" applyNumberFormat="1" applyBorder="1" applyAlignment="1">
      <alignment/>
    </xf>
    <xf numFmtId="183" fontId="0" fillId="10" borderId="8" xfId="45" applyNumberFormat="1" applyFill="1" applyBorder="1" applyAlignment="1">
      <alignment/>
    </xf>
    <xf numFmtId="10" fontId="0" fillId="0" borderId="0" xfId="0" applyNumberFormat="1" applyAlignment="1">
      <alignment/>
    </xf>
    <xf numFmtId="0" fontId="26" fillId="0" borderId="0" xfId="60" applyFont="1">
      <alignment/>
      <protection/>
    </xf>
    <xf numFmtId="0" fontId="26" fillId="0" borderId="0" xfId="60" applyFont="1" applyBorder="1">
      <alignment/>
      <protection/>
    </xf>
    <xf numFmtId="0" fontId="0" fillId="10" borderId="0" xfId="23" applyAlignment="1">
      <alignment/>
    </xf>
    <xf numFmtId="183" fontId="0" fillId="10" borderId="0" xfId="23" applyNumberFormat="1" applyAlignment="1">
      <alignment/>
    </xf>
    <xf numFmtId="191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27" fillId="0" borderId="0" xfId="60" applyFont="1" applyFill="1" applyBorder="1" applyAlignment="1">
      <alignment horizontal="center"/>
      <protection/>
    </xf>
    <xf numFmtId="0" fontId="4" fillId="0" borderId="0" xfId="58">
      <alignment/>
      <protection/>
    </xf>
    <xf numFmtId="0" fontId="4" fillId="0" borderId="0" xfId="58" applyAlignment="1">
      <alignment wrapText="1"/>
      <protection/>
    </xf>
    <xf numFmtId="180" fontId="0" fillId="0" borderId="0" xfId="0" applyNumberFormat="1" applyAlignment="1">
      <alignment/>
    </xf>
    <xf numFmtId="0" fontId="26" fillId="0" borderId="0" xfId="59" applyFont="1" applyFill="1">
      <alignment/>
      <protection/>
    </xf>
    <xf numFmtId="2" fontId="26" fillId="0" borderId="0" xfId="59" applyNumberFormat="1" applyFont="1" applyFill="1" applyAlignment="1">
      <alignment horizontal="center"/>
      <protection/>
    </xf>
    <xf numFmtId="196" fontId="26" fillId="0" borderId="0" xfId="59" applyNumberFormat="1" applyFont="1" applyFill="1" applyAlignment="1">
      <alignment horizontal="center"/>
      <protection/>
    </xf>
    <xf numFmtId="0" fontId="26" fillId="0" borderId="0" xfId="59" applyFont="1" applyFill="1" applyAlignment="1">
      <alignment horizontal="center"/>
      <protection/>
    </xf>
    <xf numFmtId="171" fontId="26" fillId="0" borderId="0" xfId="44" applyFont="1" applyFill="1" applyAlignment="1">
      <alignment/>
    </xf>
    <xf numFmtId="1" fontId="26" fillId="0" borderId="0" xfId="59" applyNumberFormat="1" applyFont="1" applyFill="1">
      <alignment/>
      <protection/>
    </xf>
    <xf numFmtId="1" fontId="26" fillId="0" borderId="0" xfId="59" applyNumberFormat="1" applyFont="1" applyFill="1" applyAlignment="1">
      <alignment horizontal="center"/>
      <protection/>
    </xf>
    <xf numFmtId="197" fontId="26" fillId="0" borderId="0" xfId="59" applyNumberFormat="1" applyFont="1" applyFill="1">
      <alignment/>
      <protection/>
    </xf>
    <xf numFmtId="0" fontId="4" fillId="0" borderId="0" xfId="59">
      <alignment/>
      <protection/>
    </xf>
    <xf numFmtId="0" fontId="26" fillId="0" borderId="0" xfId="59" applyFont="1">
      <alignment/>
      <protection/>
    </xf>
    <xf numFmtId="171" fontId="26" fillId="0" borderId="0" xfId="44" applyFont="1" applyAlignment="1">
      <alignment/>
    </xf>
    <xf numFmtId="183" fontId="26" fillId="0" borderId="0" xfId="44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83" fontId="6" fillId="0" borderId="0" xfId="45" applyNumberFormat="1" applyFont="1" applyAlignment="1">
      <alignment/>
    </xf>
    <xf numFmtId="10" fontId="0" fillId="0" borderId="0" xfId="65" applyNumberFormat="1" applyFont="1" applyAlignment="1">
      <alignment/>
    </xf>
    <xf numFmtId="182" fontId="0" fillId="0" borderId="0" xfId="45" applyNumberFormat="1" applyFont="1" applyAlignment="1">
      <alignment/>
    </xf>
    <xf numFmtId="209" fontId="0" fillId="0" borderId="0" xfId="45" applyNumberFormat="1" applyFont="1" applyAlignment="1">
      <alignment/>
    </xf>
    <xf numFmtId="0" fontId="0" fillId="0" borderId="0" xfId="0" applyAlignment="1">
      <alignment vertical="top" wrapText="1"/>
    </xf>
    <xf numFmtId="211" fontId="0" fillId="0" borderId="0" xfId="0" applyNumberFormat="1" applyAlignment="1">
      <alignment/>
    </xf>
    <xf numFmtId="0" fontId="6" fillId="0" borderId="0" xfId="58" applyFont="1">
      <alignment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53" applyFont="1" applyAlignment="1" applyProtection="1">
      <alignment/>
      <protection/>
    </xf>
    <xf numFmtId="181" fontId="0" fillId="0" borderId="0" xfId="0" applyNumberFormat="1" applyAlignment="1">
      <alignment/>
    </xf>
    <xf numFmtId="181" fontId="6" fillId="0" borderId="0" xfId="65" applyNumberFormat="1" applyFont="1" applyAlignment="1">
      <alignment horizontal="center"/>
    </xf>
    <xf numFmtId="187" fontId="6" fillId="0" borderId="0" xfId="0" applyNumberFormat="1" applyFont="1" applyAlignment="1">
      <alignment/>
    </xf>
    <xf numFmtId="10" fontId="6" fillId="0" borderId="0" xfId="0" applyNumberFormat="1" applyFont="1" applyAlignment="1">
      <alignment horizontal="center"/>
    </xf>
    <xf numFmtId="9" fontId="6" fillId="0" borderId="0" xfId="0" applyNumberFormat="1" applyFont="1" applyAlignment="1">
      <alignment horizontal="center"/>
    </xf>
    <xf numFmtId="187" fontId="6" fillId="0" borderId="0" xfId="45" applyNumberFormat="1" applyFont="1" applyAlignment="1">
      <alignment/>
    </xf>
    <xf numFmtId="0" fontId="7" fillId="24" borderId="0" xfId="0" applyFont="1" applyFill="1" applyAlignment="1">
      <alignment horizontal="center" vertical="center"/>
    </xf>
    <xf numFmtId="0" fontId="7" fillId="24" borderId="0" xfId="0" applyFont="1" applyFill="1" applyAlignment="1">
      <alignment horizontal="center" vertical="center" wrapText="1"/>
    </xf>
    <xf numFmtId="187" fontId="6" fillId="24" borderId="0" xfId="45" applyNumberFormat="1" applyFont="1" applyFill="1" applyAlignment="1">
      <alignment/>
    </xf>
    <xf numFmtId="187" fontId="6" fillId="24" borderId="0" xfId="45" applyNumberFormat="1" applyFont="1" applyFill="1" applyAlignment="1">
      <alignment horizontal="center" vertical="center" wrapText="1"/>
    </xf>
    <xf numFmtId="0" fontId="7" fillId="0" borderId="0" xfId="0" applyFont="1" applyAlignment="1">
      <alignment/>
    </xf>
    <xf numFmtId="187" fontId="6" fillId="0" borderId="0" xfId="45" applyNumberFormat="1" applyFont="1" applyAlignment="1">
      <alignment/>
    </xf>
    <xf numFmtId="187" fontId="6" fillId="24" borderId="0" xfId="0" applyNumberFormat="1" applyFont="1" applyFill="1" applyAlignment="1">
      <alignment/>
    </xf>
    <xf numFmtId="187" fontId="6" fillId="24" borderId="0" xfId="45" applyNumberFormat="1" applyFont="1" applyFill="1" applyAlignment="1">
      <alignment/>
    </xf>
    <xf numFmtId="0" fontId="7" fillId="24" borderId="10" xfId="0" applyFont="1" applyFill="1" applyBorder="1" applyAlignment="1">
      <alignment/>
    </xf>
    <xf numFmtId="0" fontId="6" fillId="24" borderId="10" xfId="0" applyFont="1" applyFill="1" applyBorder="1" applyAlignment="1">
      <alignment/>
    </xf>
    <xf numFmtId="187" fontId="6" fillId="24" borderId="10" xfId="45" applyNumberFormat="1" applyFont="1" applyFill="1" applyBorder="1" applyAlignment="1">
      <alignment/>
    </xf>
    <xf numFmtId="10" fontId="6" fillId="0" borderId="0" xfId="0" applyNumberFormat="1" applyFont="1" applyAlignment="1">
      <alignment/>
    </xf>
    <xf numFmtId="10" fontId="6" fillId="0" borderId="0" xfId="65" applyNumberFormat="1" applyFont="1" applyAlignment="1">
      <alignment/>
    </xf>
    <xf numFmtId="188" fontId="6" fillId="0" borderId="0" xfId="0" applyNumberFormat="1" applyFont="1" applyAlignment="1">
      <alignment/>
    </xf>
    <xf numFmtId="0" fontId="6" fillId="0" borderId="0" xfId="0" applyFont="1" applyAlignment="1" quotePrefix="1">
      <alignment/>
    </xf>
    <xf numFmtId="184" fontId="6" fillId="0" borderId="0" xfId="0" applyNumberFormat="1" applyFont="1" applyAlignment="1">
      <alignment/>
    </xf>
    <xf numFmtId="184" fontId="6" fillId="0" borderId="0" xfId="45" applyNumberFormat="1" applyFont="1" applyAlignment="1">
      <alignment/>
    </xf>
    <xf numFmtId="185" fontId="6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0" fontId="7" fillId="24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7" fillId="24" borderId="12" xfId="0" applyFont="1" applyFill="1" applyBorder="1" applyAlignment="1">
      <alignment/>
    </xf>
    <xf numFmtId="187" fontId="6" fillId="0" borderId="13" xfId="45" applyNumberFormat="1" applyFont="1" applyBorder="1" applyAlignment="1">
      <alignment/>
    </xf>
    <xf numFmtId="187" fontId="6" fillId="24" borderId="13" xfId="45" applyNumberFormat="1" applyFont="1" applyFill="1" applyBorder="1" applyAlignment="1">
      <alignment/>
    </xf>
    <xf numFmtId="0" fontId="6" fillId="24" borderId="14" xfId="0" applyFont="1" applyFill="1" applyBorder="1" applyAlignment="1">
      <alignment/>
    </xf>
    <xf numFmtId="187" fontId="6" fillId="0" borderId="11" xfId="0" applyNumberFormat="1" applyFont="1" applyBorder="1" applyAlignment="1">
      <alignment/>
    </xf>
    <xf numFmtId="187" fontId="7" fillId="24" borderId="11" xfId="0" applyNumberFormat="1" applyFont="1" applyFill="1" applyBorder="1" applyAlignment="1">
      <alignment horizontal="center" vertical="center" wrapText="1"/>
    </xf>
    <xf numFmtId="187" fontId="7" fillId="0" borderId="11" xfId="0" applyNumberFormat="1" applyFont="1" applyBorder="1" applyAlignment="1">
      <alignment/>
    </xf>
    <xf numFmtId="187" fontId="6" fillId="24" borderId="12" xfId="0" applyNumberFormat="1" applyFont="1" applyFill="1" applyBorder="1" applyAlignment="1">
      <alignment/>
    </xf>
    <xf numFmtId="9" fontId="6" fillId="0" borderId="11" xfId="0" applyNumberFormat="1" applyFont="1" applyBorder="1" applyAlignment="1">
      <alignment horizontal="center"/>
    </xf>
    <xf numFmtId="187" fontId="7" fillId="0" borderId="11" xfId="45" applyNumberFormat="1" applyFont="1" applyBorder="1" applyAlignment="1">
      <alignment/>
    </xf>
    <xf numFmtId="187" fontId="6" fillId="0" borderId="11" xfId="45" applyNumberFormat="1" applyFont="1" applyBorder="1" applyAlignment="1">
      <alignment/>
    </xf>
    <xf numFmtId="187" fontId="6" fillId="24" borderId="11" xfId="45" applyNumberFormat="1" applyFont="1" applyFill="1" applyBorder="1" applyAlignment="1">
      <alignment horizontal="center"/>
    </xf>
    <xf numFmtId="187" fontId="6" fillId="24" borderId="11" xfId="45" applyNumberFormat="1" applyFont="1" applyFill="1" applyBorder="1" applyAlignment="1">
      <alignment/>
    </xf>
    <xf numFmtId="10" fontId="6" fillId="24" borderId="12" xfId="65" applyNumberFormat="1" applyFont="1" applyFill="1" applyBorder="1" applyAlignment="1">
      <alignment/>
    </xf>
    <xf numFmtId="0" fontId="7" fillId="24" borderId="15" xfId="0" applyFont="1" applyFill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24" borderId="13" xfId="0" applyFont="1" applyFill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7" fillId="24" borderId="13" xfId="0" applyFont="1" applyFill="1" applyBorder="1" applyAlignment="1">
      <alignment horizontal="right"/>
    </xf>
    <xf numFmtId="0" fontId="7" fillId="24" borderId="13" xfId="0" applyFont="1" applyFill="1" applyBorder="1" applyAlignment="1">
      <alignment/>
    </xf>
    <xf numFmtId="0" fontId="7" fillId="0" borderId="13" xfId="0" applyFont="1" applyBorder="1" applyAlignment="1">
      <alignment horizontal="right"/>
    </xf>
    <xf numFmtId="0" fontId="7" fillId="24" borderId="14" xfId="0" applyFont="1" applyFill="1" applyBorder="1" applyAlignment="1">
      <alignment/>
    </xf>
    <xf numFmtId="187" fontId="6" fillId="24" borderId="11" xfId="0" applyNumberFormat="1" applyFont="1" applyFill="1" applyBorder="1" applyAlignment="1">
      <alignment/>
    </xf>
    <xf numFmtId="187" fontId="6" fillId="0" borderId="11" xfId="45" applyNumberFormat="1" applyFont="1" applyBorder="1" applyAlignment="1">
      <alignment/>
    </xf>
    <xf numFmtId="10" fontId="6" fillId="24" borderId="14" xfId="0" applyNumberFormat="1" applyFont="1" applyFill="1" applyBorder="1" applyAlignment="1">
      <alignment/>
    </xf>
    <xf numFmtId="187" fontId="6" fillId="24" borderId="11" xfId="45" applyNumberFormat="1" applyFont="1" applyFill="1" applyBorder="1" applyAlignment="1">
      <alignment/>
    </xf>
    <xf numFmtId="0" fontId="7" fillId="24" borderId="11" xfId="0" applyFont="1" applyFill="1" applyBorder="1" applyAlignment="1">
      <alignment horizontal="center" vertical="center" wrapText="1"/>
    </xf>
    <xf numFmtId="9" fontId="6" fillId="0" borderId="0" xfId="0" applyNumberFormat="1" applyFont="1" applyAlignment="1">
      <alignment/>
    </xf>
    <xf numFmtId="188" fontId="6" fillId="10" borderId="0" xfId="0" applyNumberFormat="1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181" fontId="6" fillId="0" borderId="0" xfId="65" applyNumberFormat="1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9" fontId="6" fillId="0" borderId="0" xfId="65" applyFont="1" applyAlignment="1">
      <alignment/>
    </xf>
    <xf numFmtId="0" fontId="7" fillId="24" borderId="16" xfId="0" applyFont="1" applyFill="1" applyBorder="1" applyAlignment="1">
      <alignment/>
    </xf>
    <xf numFmtId="0" fontId="7" fillId="24" borderId="0" xfId="0" applyFont="1" applyFill="1" applyAlignment="1">
      <alignment vertical="center"/>
    </xf>
    <xf numFmtId="0" fontId="7" fillId="24" borderId="11" xfId="0" applyFont="1" applyFill="1" applyBorder="1" applyAlignment="1">
      <alignment vertical="center"/>
    </xf>
    <xf numFmtId="0" fontId="6" fillId="0" borderId="11" xfId="0" applyFont="1" applyBorder="1" applyAlignment="1">
      <alignment/>
    </xf>
    <xf numFmtId="0" fontId="6" fillId="24" borderId="11" xfId="0" applyFont="1" applyFill="1" applyBorder="1" applyAlignment="1">
      <alignment/>
    </xf>
    <xf numFmtId="0" fontId="6" fillId="24" borderId="17" xfId="0" applyFont="1" applyFill="1" applyBorder="1" applyAlignment="1">
      <alignment/>
    </xf>
    <xf numFmtId="0" fontId="7" fillId="24" borderId="11" xfId="0" applyFont="1" applyFill="1" applyBorder="1" applyAlignment="1">
      <alignment vertical="center" wrapText="1"/>
    </xf>
    <xf numFmtId="184" fontId="6" fillId="0" borderId="11" xfId="0" applyNumberFormat="1" applyFont="1" applyBorder="1" applyAlignment="1">
      <alignment/>
    </xf>
    <xf numFmtId="0" fontId="7" fillId="24" borderId="17" xfId="0" applyFont="1" applyFill="1" applyBorder="1" applyAlignment="1">
      <alignment horizontal="center" vertical="center"/>
    </xf>
    <xf numFmtId="10" fontId="7" fillId="24" borderId="12" xfId="0" applyNumberFormat="1" applyFont="1" applyFill="1" applyBorder="1" applyAlignment="1">
      <alignment/>
    </xf>
    <xf numFmtId="184" fontId="6" fillId="0" borderId="11" xfId="0" applyNumberFormat="1" applyFont="1" applyBorder="1" applyAlignment="1">
      <alignment horizontal="center"/>
    </xf>
    <xf numFmtId="185" fontId="6" fillId="10" borderId="0" xfId="0" applyNumberFormat="1" applyFont="1" applyFill="1" applyAlignment="1">
      <alignment/>
    </xf>
    <xf numFmtId="171" fontId="6" fillId="0" borderId="0" xfId="45" applyNumberFormat="1" applyFont="1" applyAlignment="1">
      <alignment horizontal="center"/>
    </xf>
    <xf numFmtId="0" fontId="7" fillId="24" borderId="18" xfId="0" applyFont="1" applyFill="1" applyBorder="1" applyAlignment="1">
      <alignment/>
    </xf>
    <xf numFmtId="0" fontId="7" fillId="24" borderId="13" xfId="0" applyFont="1" applyFill="1" applyBorder="1" applyAlignment="1">
      <alignment vertical="center"/>
    </xf>
    <xf numFmtId="0" fontId="6" fillId="0" borderId="13" xfId="0" applyFont="1" applyBorder="1" applyAlignment="1">
      <alignment/>
    </xf>
    <xf numFmtId="0" fontId="6" fillId="24" borderId="13" xfId="0" applyFont="1" applyFill="1" applyBorder="1" applyAlignment="1">
      <alignment/>
    </xf>
    <xf numFmtId="0" fontId="6" fillId="24" borderId="19" xfId="0" applyFont="1" applyFill="1" applyBorder="1" applyAlignment="1">
      <alignment/>
    </xf>
    <xf numFmtId="0" fontId="6" fillId="24" borderId="15" xfId="0" applyFont="1" applyFill="1" applyBorder="1" applyAlignment="1">
      <alignment/>
    </xf>
    <xf numFmtId="0" fontId="7" fillId="24" borderId="13" xfId="0" applyFont="1" applyFill="1" applyBorder="1" applyAlignment="1">
      <alignment vertical="center" wrapText="1"/>
    </xf>
    <xf numFmtId="181" fontId="6" fillId="0" borderId="20" xfId="65" applyNumberFormat="1" applyFont="1" applyBorder="1" applyAlignment="1">
      <alignment/>
    </xf>
    <xf numFmtId="181" fontId="6" fillId="0" borderId="0" xfId="65" applyNumberFormat="1" applyFont="1" applyBorder="1" applyAlignment="1">
      <alignment/>
    </xf>
    <xf numFmtId="0" fontId="7" fillId="24" borderId="20" xfId="0" applyFont="1" applyFill="1" applyBorder="1" applyAlignment="1">
      <alignment vertical="center"/>
    </xf>
    <xf numFmtId="0" fontId="7" fillId="24" borderId="0" xfId="0" applyFont="1" applyFill="1" applyBorder="1" applyAlignment="1">
      <alignment vertical="center"/>
    </xf>
    <xf numFmtId="187" fontId="6" fillId="0" borderId="20" xfId="45" applyNumberFormat="1" applyFont="1" applyBorder="1" applyAlignment="1">
      <alignment/>
    </xf>
    <xf numFmtId="187" fontId="6" fillId="0" borderId="0" xfId="45" applyNumberFormat="1" applyFont="1" applyBorder="1" applyAlignment="1">
      <alignment/>
    </xf>
    <xf numFmtId="187" fontId="6" fillId="24" borderId="20" xfId="45" applyNumberFormat="1" applyFont="1" applyFill="1" applyBorder="1" applyAlignment="1">
      <alignment/>
    </xf>
    <xf numFmtId="187" fontId="6" fillId="24" borderId="0" xfId="45" applyNumberFormat="1" applyFont="1" applyFill="1" applyBorder="1" applyAlignment="1">
      <alignment/>
    </xf>
    <xf numFmtId="0" fontId="6" fillId="24" borderId="21" xfId="0" applyFont="1" applyFill="1" applyBorder="1" applyAlignment="1">
      <alignment/>
    </xf>
    <xf numFmtId="0" fontId="6" fillId="24" borderId="22" xfId="0" applyFont="1" applyFill="1" applyBorder="1" applyAlignment="1">
      <alignment/>
    </xf>
    <xf numFmtId="0" fontId="6" fillId="24" borderId="23" xfId="0" applyFont="1" applyFill="1" applyBorder="1" applyAlignment="1">
      <alignment/>
    </xf>
    <xf numFmtId="171" fontId="6" fillId="24" borderId="15" xfId="45" applyNumberFormat="1" applyFont="1" applyFill="1" applyBorder="1" applyAlignment="1">
      <alignment horizontal="center" vertical="center"/>
    </xf>
    <xf numFmtId="171" fontId="6" fillId="0" borderId="13" xfId="45" applyNumberFormat="1" applyFont="1" applyBorder="1" applyAlignment="1">
      <alignment horizontal="center"/>
    </xf>
    <xf numFmtId="171" fontId="6" fillId="24" borderId="13" xfId="45" applyNumberFormat="1" applyFont="1" applyFill="1" applyBorder="1" applyAlignment="1">
      <alignment/>
    </xf>
    <xf numFmtId="171" fontId="6" fillId="0" borderId="13" xfId="45" applyNumberFormat="1" applyFont="1" applyBorder="1" applyAlignment="1">
      <alignment/>
    </xf>
    <xf numFmtId="9" fontId="6" fillId="24" borderId="14" xfId="65" applyNumberFormat="1" applyFont="1" applyFill="1" applyBorder="1" applyAlignment="1">
      <alignment/>
    </xf>
    <xf numFmtId="184" fontId="6" fillId="10" borderId="0" xfId="0" applyNumberFormat="1" applyFont="1" applyFill="1" applyAlignment="1">
      <alignment/>
    </xf>
    <xf numFmtId="171" fontId="6" fillId="0" borderId="0" xfId="45" applyFont="1" applyAlignment="1">
      <alignment horizontal="center" vertical="center"/>
    </xf>
    <xf numFmtId="171" fontId="6" fillId="0" borderId="0" xfId="45" applyFont="1" applyAlignment="1">
      <alignment horizontal="center"/>
    </xf>
    <xf numFmtId="171" fontId="6" fillId="0" borderId="0" xfId="45" applyFont="1" applyAlignment="1">
      <alignment/>
    </xf>
    <xf numFmtId="9" fontId="6" fillId="0" borderId="0" xfId="65" applyFont="1" applyAlignment="1">
      <alignment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/>
    </xf>
    <xf numFmtId="187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171" fontId="6" fillId="24" borderId="0" xfId="45" applyNumberFormat="1" applyFont="1" applyFill="1" applyAlignment="1">
      <alignment horizontal="center" vertical="center" wrapText="1"/>
    </xf>
    <xf numFmtId="171" fontId="6" fillId="24" borderId="10" xfId="45" applyNumberFormat="1" applyFont="1" applyFill="1" applyBorder="1" applyAlignment="1">
      <alignment/>
    </xf>
    <xf numFmtId="181" fontId="6" fillId="24" borderId="10" xfId="65" applyNumberFormat="1" applyFont="1" applyFill="1" applyBorder="1" applyAlignment="1">
      <alignment/>
    </xf>
    <xf numFmtId="171" fontId="6" fillId="24" borderId="11" xfId="45" applyNumberFormat="1" applyFont="1" applyFill="1" applyBorder="1" applyAlignment="1">
      <alignment/>
    </xf>
    <xf numFmtId="171" fontId="6" fillId="0" borderId="11" xfId="45" applyNumberFormat="1" applyFont="1" applyBorder="1" applyAlignment="1">
      <alignment/>
    </xf>
    <xf numFmtId="0" fontId="6" fillId="0" borderId="0" xfId="70" applyFont="1" applyAlignment="1">
      <alignment/>
    </xf>
    <xf numFmtId="184" fontId="6" fillId="0" borderId="0" xfId="0" applyNumberFormat="1" applyFont="1" applyFill="1" applyAlignment="1">
      <alignment/>
    </xf>
    <xf numFmtId="171" fontId="6" fillId="0" borderId="24" xfId="45" applyFont="1" applyBorder="1" applyAlignment="1">
      <alignment horizontal="center" vertical="center"/>
    </xf>
    <xf numFmtId="171" fontId="6" fillId="0" borderId="24" xfId="45" applyFont="1" applyBorder="1" applyAlignment="1">
      <alignment horizontal="center"/>
    </xf>
    <xf numFmtId="171" fontId="6" fillId="0" borderId="24" xfId="45" applyFont="1" applyBorder="1" applyAlignment="1">
      <alignment/>
    </xf>
    <xf numFmtId="10" fontId="6" fillId="0" borderId="24" xfId="65" applyNumberFormat="1" applyFont="1" applyBorder="1" applyAlignment="1">
      <alignment/>
    </xf>
    <xf numFmtId="183" fontId="6" fillId="10" borderId="0" xfId="45" applyNumberFormat="1" applyFont="1" applyFill="1" applyAlignment="1">
      <alignment/>
    </xf>
    <xf numFmtId="187" fontId="0" fillId="0" borderId="0" xfId="0" applyNumberFormat="1" applyAlignment="1">
      <alignment/>
    </xf>
    <xf numFmtId="2" fontId="0" fillId="0" borderId="0" xfId="0" applyNumberFormat="1" applyAlignment="1">
      <alignment/>
    </xf>
    <xf numFmtId="205" fontId="0" fillId="0" borderId="0" xfId="45" applyNumberFormat="1" applyFont="1" applyAlignment="1">
      <alignment/>
    </xf>
    <xf numFmtId="0" fontId="7" fillId="24" borderId="16" xfId="0" applyFont="1" applyFill="1" applyBorder="1" applyAlignment="1">
      <alignment horizontal="center"/>
    </xf>
    <xf numFmtId="0" fontId="7" fillId="24" borderId="17" xfId="0" applyFont="1" applyFill="1" applyBorder="1" applyAlignment="1">
      <alignment horizontal="center"/>
    </xf>
    <xf numFmtId="0" fontId="7" fillId="24" borderId="15" xfId="0" applyFont="1" applyFill="1" applyBorder="1" applyAlignment="1">
      <alignment horizontal="center" vertical="center"/>
    </xf>
    <xf numFmtId="0" fontId="7" fillId="24" borderId="13" xfId="0" applyFont="1" applyFill="1" applyBorder="1" applyAlignment="1">
      <alignment horizontal="center" vertical="center"/>
    </xf>
    <xf numFmtId="0" fontId="7" fillId="24" borderId="15" xfId="0" applyFont="1" applyFill="1" applyBorder="1" applyAlignment="1">
      <alignment horizontal="center" vertical="center" wrapText="1"/>
    </xf>
    <xf numFmtId="0" fontId="7" fillId="24" borderId="13" xfId="0" applyFont="1" applyFill="1" applyBorder="1" applyAlignment="1">
      <alignment horizontal="center" vertical="center" wrapText="1"/>
    </xf>
    <xf numFmtId="187" fontId="7" fillId="24" borderId="25" xfId="45" applyNumberFormat="1" applyFont="1" applyFill="1" applyBorder="1" applyAlignment="1">
      <alignment horizontal="center"/>
    </xf>
    <xf numFmtId="187" fontId="7" fillId="24" borderId="17" xfId="45" applyNumberFormat="1" applyFont="1" applyFill="1" applyBorder="1" applyAlignment="1">
      <alignment horizontal="center"/>
    </xf>
    <xf numFmtId="187" fontId="7" fillId="24" borderId="20" xfId="45" applyNumberFormat="1" applyFont="1" applyFill="1" applyBorder="1" applyAlignment="1">
      <alignment horizontal="center"/>
    </xf>
    <xf numFmtId="187" fontId="7" fillId="24" borderId="11" xfId="45" applyNumberFormat="1" applyFont="1" applyFill="1" applyBorder="1" applyAlignment="1">
      <alignment horizontal="center"/>
    </xf>
    <xf numFmtId="0" fontId="7" fillId="24" borderId="25" xfId="0" applyFont="1" applyFill="1" applyBorder="1" applyAlignment="1">
      <alignment horizontal="center"/>
    </xf>
    <xf numFmtId="0" fontId="7" fillId="24" borderId="26" xfId="0" applyFont="1" applyFill="1" applyBorder="1" applyAlignment="1">
      <alignment horizontal="center"/>
    </xf>
    <xf numFmtId="0" fontId="7" fillId="24" borderId="27" xfId="0" applyFont="1" applyFill="1" applyBorder="1" applyAlignment="1">
      <alignment horizontal="center"/>
    </xf>
    <xf numFmtId="0" fontId="7" fillId="24" borderId="28" xfId="0" applyFont="1" applyFill="1" applyBorder="1" applyAlignment="1">
      <alignment horizontal="center"/>
    </xf>
    <xf numFmtId="171" fontId="6" fillId="24" borderId="16" xfId="45" applyNumberFormat="1" applyFont="1" applyFill="1" applyBorder="1" applyAlignment="1">
      <alignment horizontal="center"/>
    </xf>
    <xf numFmtId="171" fontId="6" fillId="24" borderId="17" xfId="45" applyNumberFormat="1" applyFont="1" applyFill="1" applyBorder="1" applyAlignment="1">
      <alignment horizont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Followed Hyperlink" xfId="40"/>
    <cellStyle name="Calculation" xfId="41"/>
    <cellStyle name="cf" xfId="42"/>
    <cellStyle name="Check Cell" xfId="43"/>
    <cellStyle name="Comma 2" xfId="44"/>
    <cellStyle name="Comma" xfId="45"/>
    <cellStyle name="Comma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ID-NOEI-Emission Calculation-2" xfId="60"/>
    <cellStyle name="Note" xfId="61"/>
    <cellStyle name="Output" xfId="62"/>
    <cellStyle name="Percent 2" xfId="63"/>
    <cellStyle name="Percent 3" xfId="64"/>
    <cellStyle name="Percent" xfId="65"/>
    <cellStyle name="Title" xfId="66"/>
    <cellStyle name="Total" xfId="67"/>
    <cellStyle name="Currency" xfId="68"/>
    <cellStyle name="Currency [0]" xfId="69"/>
    <cellStyle name="Warning Text" xfId="70"/>
  </cellStyles>
  <dxfs count="1">
    <dxf>
      <numFmt numFmtId="183" formatCode="_-* #,##0_-;\-* #,##0_-;_-* &quot;-&quot;??_-;_-@_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pivotCacheDefinition" Target="pivotCache/pivotCacheDefinition2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externalLink" Target="externalLinks/externalLink6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ynthia%20Hendrayani\My%20Documents\Mitsubishi%20UFJ\MUS%20Account%20&amp;%20Project\ID-PermataHijau\Biomass%20to%20Energy%20Project\New%20Methodology%20Development\PDD-PHG%20Version%201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ynthia%20Hendrayani\My%20Documents\Mitsubishi%20UFJ\MUS%20Account%20&amp;%20Project\ID-NOEI-Waste%20to%20Energy%20Project\PDD%20Revision\IRRSimulat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ynthia\Application%20Data\Microsoft\Excel\ID-MEN-Emission%20Reduction%20Version%20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ynthia%20Hendrayani\My%20Documents\Mitsubishi%20UFJ\MUS%20Account%20&amp;%20Project\ID-PermataHijau\Biogas%20to%20Energy%20Project\ID-PHG-POME%20to%20Energy-CER%20Estimate%2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ynthia%20Hendrayani\My%20Documents\Mitsubishi%20UFJ\MUS%20Account%20&amp;%20Project\ID-NOEI-Waste%20to%20Energy%20Project\PDD%20Revision\ID-NOEI-Emission%20Calculation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ynthia\My%20Documents\Mitsubishi%20UFJ\MUS%20Account%20&amp;%20Project\ID-MEN-Tangerang\Validation\2nd%20Submission%20to%20TUV\ID-2006-PLN%20Data-Emission%20Factor%20Version%203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ommon Data"/>
      <sheetName val="Energy Balance"/>
      <sheetName val="Baseline Emission"/>
      <sheetName val="Financial"/>
      <sheetName val="Project &amp; Leakage Emission"/>
      <sheetName val="Methane Emission Too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RR Simulatio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GL As Baseline"/>
      <sheetName val="General"/>
      <sheetName val="Boiler Increased Capacity"/>
      <sheetName val="Residue as Baseline"/>
      <sheetName val="Coal Co-generation as Baseline"/>
      <sheetName val="CDMFinance"/>
      <sheetName val="Project Finance"/>
      <sheetName val="Grid Operating Margin"/>
    </sheetNames>
    <sheetDataSet>
      <sheetData sheetId="1">
        <row r="8">
          <cell r="C8">
            <v>9.5</v>
          </cell>
        </row>
        <row r="11">
          <cell r="C11">
            <v>8000</v>
          </cell>
          <cell r="J11">
            <v>0.03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st Benefit"/>
      <sheetName val="CER Calculation"/>
      <sheetName val="Financial"/>
      <sheetName val="Sheet3"/>
    </sheetNames>
    <sheetDataSet>
      <sheetData sheetId="1">
        <row r="4">
          <cell r="G4">
            <v>0.738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mission Reduction Estimate"/>
      <sheetName val="Baseline Emission"/>
      <sheetName val="Project Emission"/>
      <sheetName val="Leakage Emission"/>
      <sheetName val="Grid Operating Margin"/>
      <sheetName val="Baseline Emission Chart"/>
      <sheetName val="Baseline Methane Emission"/>
      <sheetName val="Methane Emission Tool"/>
      <sheetName val="IRR 2"/>
      <sheetName val="Emission Chart"/>
    </sheetNames>
    <sheetDataSet>
      <sheetData sheetId="1">
        <row r="11">
          <cell r="D11">
            <v>166400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Bruto(2006)"/>
      <sheetName val="2006EF Analysis"/>
      <sheetName val="2006Data"/>
    </sheetNames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7">
    <cacheField name="Type">
      <sharedItems containsMixedTypes="0" count="6">
        <s v="PLTA"/>
        <s v="PLTU"/>
        <s v="PLTGU"/>
        <s v="PLTG"/>
        <s v="PLTD"/>
        <s v="PLTP"/>
      </sharedItems>
    </cacheField>
    <cacheField name="Name">
      <sharedItems containsMixedTypes="0"/>
    </cacheField>
    <cacheField name="Owner">
      <sharedItems containsBlank="1" containsMixedTypes="0" count="5">
        <s v="INER"/>
        <s v="PJB"/>
        <s v="PMT"/>
        <s v="IPP"/>
        <m/>
      </sharedItems>
    </cacheField>
    <cacheField name="Fuel Type">
      <sharedItems containsMixedTypes="0" count="6">
        <s v="HYDRO"/>
        <s v="COAL"/>
        <s v="MFO"/>
        <s v="GAS"/>
        <s v="HSD"/>
        <s v="GEOTH"/>
      </sharedItems>
    </cacheField>
    <cacheField name="Own Usage %">
      <sharedItems containsSemiMixedTypes="0" containsString="0" containsMixedTypes="0" containsNumber="1"/>
    </cacheField>
    <cacheField name="SFC">
      <sharedItems containsSemiMixedTypes="0" containsString="0" containsMixedTypes="0" containsNumber="1"/>
    </cacheField>
    <cacheField name="SFC P3B">
      <sharedItems containsMixedTypes="1" containsNumber="1"/>
    </cacheField>
    <cacheField name="Capacity">
      <sharedItems containsMixedTypes="1" containsNumber="1"/>
    </cacheField>
    <cacheField name=" Generation (GWh)">
      <sharedItems containsSemiMixedTypes="0" containsString="0" containsMixedTypes="0" containsNumber="1"/>
    </cacheField>
    <cacheField name="Jan">
      <sharedItems containsSemiMixedTypes="0" containsString="0" containsMixedTypes="0" containsNumber="1"/>
    </cacheField>
    <cacheField name="Feb">
      <sharedItems containsSemiMixedTypes="0" containsString="0" containsMixedTypes="0" containsNumber="1"/>
    </cacheField>
    <cacheField name="Mar">
      <sharedItems containsSemiMixedTypes="0" containsString="0" containsMixedTypes="0" containsNumber="1"/>
    </cacheField>
    <cacheField name="Apr">
      <sharedItems containsSemiMixedTypes="0" containsString="0" containsMixedTypes="0" containsNumber="1"/>
    </cacheField>
    <cacheField name="May">
      <sharedItems containsSemiMixedTypes="0" containsString="0" containsMixedTypes="0" containsNumber="1"/>
    </cacheField>
    <cacheField name="Jun">
      <sharedItems containsSemiMixedTypes="0" containsString="0" containsMixedTypes="0" containsNumber="1"/>
    </cacheField>
    <cacheField name="Jul">
      <sharedItems containsSemiMixedTypes="0" containsString="0" containsMixedTypes="0" containsNumber="1"/>
    </cacheField>
    <cacheField name="Aug">
      <sharedItems containsSemiMixedTypes="0" containsString="0" containsMixedTypes="0" containsNumber="1"/>
    </cacheField>
    <cacheField name="Sep">
      <sharedItems containsSemiMixedTypes="0" containsString="0" containsMixedTypes="0" containsNumber="1"/>
    </cacheField>
    <cacheField name="Oct">
      <sharedItems containsSemiMixedTypes="0" containsString="0" containsMixedTypes="0" containsNumber="1"/>
    </cacheField>
    <cacheField name="Nov">
      <sharedItems containsSemiMixedTypes="0" containsString="0" containsMixedTypes="0" containsNumber="1"/>
    </cacheField>
    <cacheField name="Dec">
      <sharedItems containsSemiMixedTypes="0" containsString="0" containsMixedTypes="0" containsNumber="1"/>
    </cacheField>
    <cacheField name="CF">
      <sharedItems containsSemiMixedTypes="0" containsString="0" containsMixedTypes="0" containsNumber="1"/>
    </cacheField>
    <cacheField name="Total Fuel">
      <sharedItems containsSemiMixedTypes="0" containsString="0" containsMixedTypes="0" containsNumber="1"/>
    </cacheField>
    <cacheField name="Unit">
      <sharedItems containsMixedTypes="0"/>
    </cacheField>
    <cacheField name="Fossil Fuel kT">
      <sharedItems containsSemiMixedTypes="0" containsString="0" containsMixedTypes="0" containsNumber="1"/>
    </cacheField>
    <cacheField name="Emissions (tCO2)">
      <sharedItems containsSemiMixedTypes="0" containsString="0" containsMixedTypes="0" containsNumber="1"/>
    </cacheField>
    <cacheField name="MO">
      <sharedItems containsBlank="1" containsMixedTypes="0" count="5">
        <s v="P"/>
        <s v="M"/>
        <m/>
        <s v=" "/>
        <s v="ML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X58" sheet="RD-2006ALL"/>
  </cacheSource>
  <cacheFields count="25">
    <cacheField name="Type">
      <sharedItems containsMixedTypes="0" count="6">
        <s v="PLTA"/>
        <s v="PLTU"/>
        <s v="PLTGU"/>
        <s v="PLTG"/>
        <s v="PLTD"/>
        <s v="PLTP"/>
      </sharedItems>
    </cacheField>
    <cacheField name="Name">
      <sharedItems containsMixedTypes="0"/>
    </cacheField>
    <cacheField name="Owner">
      <sharedItems containsBlank="1" containsMixedTypes="0" count="5">
        <s v="INER"/>
        <s v="PJB"/>
        <s v="PMT"/>
        <s v="IPP"/>
        <m/>
      </sharedItems>
    </cacheField>
    <cacheField name="Fuel Type">
      <sharedItems containsMixedTypes="0"/>
    </cacheField>
    <cacheField name="Own Usage %">
      <sharedItems containsSemiMixedTypes="0" containsString="0" containsMixedTypes="0" containsNumber="1"/>
    </cacheField>
    <cacheField name="SFC">
      <sharedItems containsSemiMixedTypes="0" containsString="0" containsMixedTypes="0" containsNumber="1"/>
    </cacheField>
    <cacheField name="SFC P3B">
      <sharedItems containsMixedTypes="1" containsNumber="1"/>
    </cacheField>
    <cacheField name="Capacity">
      <sharedItems containsMixedTypes="1" containsNumber="1"/>
    </cacheField>
    <cacheField name=" Generation (GWh)">
      <sharedItems containsSemiMixedTypes="0" containsString="0" containsMixedTypes="0" containsNumber="1"/>
    </cacheField>
    <cacheField name="Jan">
      <sharedItems containsSemiMixedTypes="0" containsString="0" containsMixedTypes="0" containsNumber="1"/>
    </cacheField>
    <cacheField name="Feb">
      <sharedItems containsSemiMixedTypes="0" containsString="0" containsMixedTypes="0" containsNumber="1"/>
    </cacheField>
    <cacheField name="Mar">
      <sharedItems containsSemiMixedTypes="0" containsString="0" containsMixedTypes="0" containsNumber="1"/>
    </cacheField>
    <cacheField name="Apr">
      <sharedItems containsSemiMixedTypes="0" containsString="0" containsMixedTypes="0" containsNumber="1"/>
    </cacheField>
    <cacheField name="May">
      <sharedItems containsSemiMixedTypes="0" containsString="0" containsMixedTypes="0" containsNumber="1"/>
    </cacheField>
    <cacheField name="Jun">
      <sharedItems containsSemiMixedTypes="0" containsString="0" containsMixedTypes="0" containsNumber="1"/>
    </cacheField>
    <cacheField name="Jul">
      <sharedItems containsSemiMixedTypes="0" containsString="0" containsMixedTypes="0" containsNumber="1"/>
    </cacheField>
    <cacheField name="Aug">
      <sharedItems containsSemiMixedTypes="0" containsString="0" containsMixedTypes="0" containsNumber="1"/>
    </cacheField>
    <cacheField name="Sep">
      <sharedItems containsSemiMixedTypes="0" containsString="0" containsMixedTypes="0" containsNumber="1"/>
    </cacheField>
    <cacheField name="Oct">
      <sharedItems containsSemiMixedTypes="0" containsString="0" containsMixedTypes="0" containsNumber="1"/>
    </cacheField>
    <cacheField name="Nov">
      <sharedItems containsSemiMixedTypes="0" containsString="0" containsMixedTypes="0" containsNumber="1"/>
    </cacheField>
    <cacheField name="Dec">
      <sharedItems containsSemiMixedTypes="0" containsString="0" containsMixedTypes="0" containsNumber="1"/>
    </cacheField>
    <cacheField name="CF">
      <sharedItems containsSemiMixedTypes="0" containsString="0" containsMixedTypes="0" containsNumber="1"/>
    </cacheField>
    <cacheField name="Total Fuel">
      <sharedItems containsSemiMixedTypes="0" containsString="0" containsMixedTypes="0" containsNumber="1"/>
    </cacheField>
    <cacheField name="Unit">
      <sharedItems containsMixedTypes="0"/>
    </cacheField>
    <cacheField name="Fossil Fuel kT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8:C58" firstHeaderRow="2" firstDataRow="2" firstDataCol="2"/>
  <pivotFields count="25">
    <pivotField axis="axisRow" compact="0" outline="0" subtotalTop="0" showAll="0">
      <items count="7">
        <item x="0"/>
        <item x="4"/>
        <item x="3"/>
        <item x="2"/>
        <item x="5"/>
        <item x="1"/>
        <item t="default"/>
      </items>
    </pivotField>
    <pivotField compact="0" outline="0" subtotalTop="0" showAll="0"/>
    <pivotField axis="axisRow" compact="0" outline="0" subtotalTop="0" showAll="0">
      <items count="6">
        <item h="1" x="0"/>
        <item x="3"/>
        <item h="1" x="1"/>
        <item h="1" x="2"/>
        <item h="1"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0"/>
    <field x="2"/>
  </rowFields>
  <rowItems count="9">
    <i>
      <x/>
      <x v="1"/>
    </i>
    <i t="default">
      <x/>
    </i>
    <i>
      <x v="2"/>
      <x v="1"/>
    </i>
    <i t="default">
      <x v="2"/>
    </i>
    <i>
      <x v="4"/>
      <x v="1"/>
    </i>
    <i t="default">
      <x v="4"/>
    </i>
    <i>
      <x v="5"/>
      <x v="1"/>
    </i>
    <i t="default">
      <x v="5"/>
    </i>
    <i t="grand">
      <x/>
    </i>
  </rowItems>
  <colItems count="1">
    <i/>
  </colItems>
  <dataFields count="1">
    <dataField name="IPP Generations (GWh)" fld="8" baseField="0" baseItem="0" numFmtId="18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2:C46" firstHeaderRow="2" firstDataRow="2" firstDataCol="2"/>
  <pivotFields count="25">
    <pivotField axis="axisRow" compact="0" outline="0" subtotalTop="0" showAll="0">
      <items count="7">
        <item x="0"/>
        <item x="4"/>
        <item x="3"/>
        <item x="2"/>
        <item x="5"/>
        <item x="1"/>
        <item t="default"/>
      </items>
    </pivotField>
    <pivotField compact="0" outline="0" subtotalTop="0" showAll="0"/>
    <pivotField axis="axisRow" compact="0" outline="0" subtotalTop="0" showAll="0">
      <items count="6">
        <item x="0"/>
        <item x="3"/>
        <item x="1"/>
        <item x="2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0"/>
    <field x="2"/>
  </rowFields>
  <rowItems count="23">
    <i>
      <x/>
      <x/>
    </i>
    <i r="1">
      <x v="1"/>
    </i>
    <i r="1">
      <x v="2"/>
    </i>
    <i t="default">
      <x/>
    </i>
    <i>
      <x v="1"/>
      <x/>
    </i>
    <i t="default">
      <x v="1"/>
    </i>
    <i>
      <x v="2"/>
      <x/>
    </i>
    <i r="1">
      <x v="1"/>
    </i>
    <i r="1">
      <x v="2"/>
    </i>
    <i t="default">
      <x v="2"/>
    </i>
    <i>
      <x v="3"/>
      <x/>
    </i>
    <i r="1">
      <x v="2"/>
    </i>
    <i r="1">
      <x v="3"/>
    </i>
    <i t="default">
      <x v="3"/>
    </i>
    <i>
      <x v="4"/>
      <x/>
    </i>
    <i r="1">
      <x v="1"/>
    </i>
    <i t="default">
      <x v="4"/>
    </i>
    <i>
      <x v="5"/>
      <x/>
    </i>
    <i r="1">
      <x v="1"/>
    </i>
    <i r="1">
      <x v="2"/>
    </i>
    <i r="1">
      <x v="4"/>
    </i>
    <i t="default">
      <x v="5"/>
    </i>
    <i t="grand">
      <x/>
    </i>
  </rowItems>
  <colItems count="1">
    <i/>
  </colItems>
  <dataFields count="1">
    <dataField name="All Power Plants Generations (GWh)" fld="8" baseField="0" baseItem="0" numFmtId="183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D11" firstHeaderRow="1" firstDataRow="2" firstDataCol="1"/>
  <pivotFields count="27">
    <pivotField compact="0" showAll="0"/>
    <pivotField compact="0" showAll="0"/>
    <pivotField compact="0" showAll="0"/>
    <pivotField axis="axisRow" compact="0" showAll="0">
      <items count="7">
        <item x="1"/>
        <item x="3"/>
        <item x="5"/>
        <item x="4"/>
        <item x="0"/>
        <item x="2"/>
        <item t="default"/>
      </items>
    </pivotField>
    <pivotField compact="0" showAll="0" numFmtId="2"/>
    <pivotField compact="0" showAll="0" numFmtId="196"/>
    <pivotField compact="0" showAll="0"/>
    <pivotField compact="0" showAll="0"/>
    <pivotField dataField="1" compact="0" showAll="0" numFmtId="171"/>
    <pivotField compact="0" showAll="0" numFmtId="1"/>
    <pivotField compact="0" showAll="0" numFmtId="1"/>
    <pivotField compact="0" showAll="0" numFmtId="1"/>
    <pivotField compact="0" showAll="0" numFmtId="1"/>
    <pivotField compact="0" showAll="0" numFmtId="1"/>
    <pivotField compact="0" showAll="0" numFmtId="1"/>
    <pivotField compact="0" showAll="0" numFmtId="1"/>
    <pivotField compact="0" showAll="0" numFmtId="1"/>
    <pivotField compact="0" showAll="0" numFmtId="1"/>
    <pivotField compact="0" showAll="0" numFmtId="1"/>
    <pivotField compact="0" showAll="0" numFmtId="1"/>
    <pivotField compact="0" showAll="0" numFmtId="1"/>
    <pivotField compact="0" showAll="0" numFmtId="9"/>
    <pivotField dataField="1" compact="0" showAll="0" numFmtId="171"/>
    <pivotField compact="0" showAll="0"/>
    <pivotField dataField="1" compact="0" showAll="0" numFmtId="171"/>
    <pivotField compact="0" showAll="0" numFmtId="171" defaultSubtotal="0"/>
    <pivotField compact="0" showAll="0" defaultSubtotal="0"/>
  </pivotFields>
  <rowFields count="1">
    <field x="3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 Generation (GWh)" fld="8" baseField="0" baseItem="0"/>
    <dataField name="Sum of Fossil Fuel kT" fld="24" baseField="0" baseItem="0"/>
    <dataField name="Sum of Total Fuel" fld="22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80" name="Table180" displayName="Table180" ref="A10:G18" totalsRowShown="0">
  <autoFilter ref="A10:G18"/>
  <tableColumns count="7">
    <tableColumn id="1" name="Year"/>
    <tableColumn id="2" name="Column1"/>
    <tableColumn id="3" name="Column2"/>
    <tableColumn id="4" name="Estimation of project activity emissions"/>
    <tableColumn id="5" name="Estimation of baseline emissions"/>
    <tableColumn id="9" name="Estimation of leakage"/>
    <tableColumn id="10" name="Estimation of overall emission reduction"/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id="133" name="Table133" displayName="Table133" ref="A5:G14" totalsRowShown="0">
  <autoFilter ref="A5:G14"/>
  <tableColumns count="7">
    <tableColumn id="1" name="2005 IPP Power Plants"/>
    <tableColumn id="2" name="Type"/>
    <tableColumn id="3" name="Fuel Type"/>
    <tableColumn id="4" name="Generation (GWh)"/>
    <tableColumn id="5" name="SFC"/>
    <tableColumn id="6" name="Fuel Consumption"/>
    <tableColumn id="7" name="Units"/>
  </tableColumns>
  <tableStyleInfo name="TableStyleLight4" showFirstColumn="0" showLastColumn="0" showRowStripes="1" showColumnStripes="0"/>
</table>
</file>

<file path=xl/tables/table3.xml><?xml version="1.0" encoding="utf-8"?>
<table xmlns="http://schemas.openxmlformats.org/spreadsheetml/2006/main" id="135" name="Table135" displayName="Table135" ref="A19:E25" totalsRowShown="0">
  <autoFilter ref="A19:E25"/>
  <tableColumns count="5">
    <tableColumn id="1" name="2005 IPP Power Plants"/>
    <tableColumn id="2" name="Generation (GWh)"/>
    <tableColumn id="3" name="Fuel Type"/>
    <tableColumn id="4" name="Fuel Consumption "/>
    <tableColumn id="5" name="Unit"/>
  </tableColumns>
  <tableStyleInfo name="TableStyleLight4" showFirstColumn="0" showLastColumn="0" showRowStripes="1" showColumnStripes="0"/>
</table>
</file>

<file path=xl/tables/table4.xml><?xml version="1.0" encoding="utf-8"?>
<table xmlns="http://schemas.openxmlformats.org/spreadsheetml/2006/main" id="136" name="Table1" displayName="Table1" ref="A1:X58" totalsRowShown="0">
  <autoFilter ref="A1:X58"/>
  <tableColumns count="24">
    <tableColumn id="1" name="Type"/>
    <tableColumn id="2" name="Name"/>
    <tableColumn id="3" name="Owner"/>
    <tableColumn id="4" name="Fuel Type"/>
    <tableColumn id="5" name="Own Usage %"/>
    <tableColumn id="6" name="SFC"/>
    <tableColumn id="7" name="SFC P3B"/>
    <tableColumn id="8" name="Capacity"/>
    <tableColumn id="9" name=" Generation (GWh)"/>
    <tableColumn id="10" name="Jan"/>
    <tableColumn id="11" name="Feb"/>
    <tableColumn id="12" name="Mar"/>
    <tableColumn id="13" name="Apr"/>
    <tableColumn id="14" name="May"/>
    <tableColumn id="15" name="Jun"/>
    <tableColumn id="16" name="Jul"/>
    <tableColumn id="17" name="Aug"/>
    <tableColumn id="18" name="Sep"/>
    <tableColumn id="19" name="Oct"/>
    <tableColumn id="20" name="Nov"/>
    <tableColumn id="21" name="Dec"/>
    <tableColumn id="22" name="CF"/>
    <tableColumn id="23" name="Total Fuel"/>
    <tableColumn id="24" name="Unit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table" Target="../tables/table4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table" Target="../tables/table2.xml" /><Relationship Id="rId4" Type="http://schemas.openxmlformats.org/officeDocument/2006/relationships/table" Target="../tables/table3.x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9.140625" style="44" customWidth="1"/>
    <col min="2" max="2" width="24.8515625" style="44" customWidth="1"/>
    <col min="3" max="3" width="84.57421875" style="44" customWidth="1"/>
    <col min="4" max="16384" width="9.140625" style="44" customWidth="1"/>
  </cols>
  <sheetData>
    <row r="1" ht="33">
      <c r="A1" s="43" t="s">
        <v>328</v>
      </c>
    </row>
    <row r="3" ht="15">
      <c r="B3" s="45" t="s">
        <v>354</v>
      </c>
    </row>
    <row r="4" spans="2:3" ht="15">
      <c r="B4" s="44" t="s">
        <v>344</v>
      </c>
      <c r="C4" s="44" t="s">
        <v>330</v>
      </c>
    </row>
    <row r="5" spans="2:3" ht="15">
      <c r="B5" s="46" t="s">
        <v>333</v>
      </c>
      <c r="C5" s="44" t="s">
        <v>329</v>
      </c>
    </row>
    <row r="6" spans="2:3" ht="15">
      <c r="B6" s="46" t="s">
        <v>334</v>
      </c>
      <c r="C6" s="44" t="s">
        <v>331</v>
      </c>
    </row>
    <row r="7" spans="2:3" ht="15">
      <c r="B7" s="46" t="s">
        <v>335</v>
      </c>
      <c r="C7" s="44" t="s">
        <v>345</v>
      </c>
    </row>
    <row r="8" spans="2:3" ht="15">
      <c r="B8" s="46" t="s">
        <v>336</v>
      </c>
      <c r="C8" s="44" t="s">
        <v>346</v>
      </c>
    </row>
    <row r="9" spans="2:3" ht="15">
      <c r="B9" s="46" t="s">
        <v>337</v>
      </c>
      <c r="C9" s="44" t="s">
        <v>347</v>
      </c>
    </row>
    <row r="10" spans="2:3" ht="15">
      <c r="B10" s="46" t="s">
        <v>338</v>
      </c>
      <c r="C10" s="44" t="s">
        <v>348</v>
      </c>
    </row>
    <row r="11" spans="2:3" ht="15">
      <c r="B11" s="46" t="s">
        <v>339</v>
      </c>
      <c r="C11" s="44" t="s">
        <v>349</v>
      </c>
    </row>
    <row r="12" spans="2:3" ht="15">
      <c r="B12" s="46" t="s">
        <v>340</v>
      </c>
      <c r="C12" s="44" t="s">
        <v>350</v>
      </c>
    </row>
    <row r="13" spans="2:3" ht="15">
      <c r="B13" s="46" t="s">
        <v>341</v>
      </c>
      <c r="C13" s="44" t="s">
        <v>351</v>
      </c>
    </row>
    <row r="14" spans="2:3" ht="15">
      <c r="B14" s="46" t="s">
        <v>342</v>
      </c>
      <c r="C14" s="44" t="s">
        <v>352</v>
      </c>
    </row>
    <row r="15" spans="2:3" ht="15">
      <c r="B15" s="46" t="s">
        <v>343</v>
      </c>
      <c r="C15" s="44" t="s">
        <v>353</v>
      </c>
    </row>
    <row r="17" ht="15">
      <c r="B17" s="44" t="s">
        <v>355</v>
      </c>
    </row>
    <row r="18" ht="15">
      <c r="B18" s="44" t="s">
        <v>396</v>
      </c>
    </row>
  </sheetData>
  <sheetProtection/>
  <hyperlinks>
    <hyperlink ref="B5" location="EMISSION!A1" display="EMISSION"/>
    <hyperlink ref="B6" location="FINANCE!A1" display="FINANCE"/>
    <hyperlink ref="B7" location="'FSA-0'!A1" display="FSA-0"/>
    <hyperlink ref="B8" location="'FSA-1'!A1" display="FSA-1"/>
    <hyperlink ref="B9" location="'FSA-2'!A1" display="FSA-2"/>
    <hyperlink ref="B10" location="'FSA-3'!A1" display="FSA-3"/>
    <hyperlink ref="B11" location="'GRID-EF'!A1" display="GRID-EF"/>
    <hyperlink ref="B12" location="'RD-2005IPP'!A1" display="RD-2005IPP"/>
    <hyperlink ref="B13" location="'RD-2006ALL'!A1" display="RD-2006ALL"/>
    <hyperlink ref="B14" location="'RD-2006DataAnalysis'!A1" display="RD-2006DataAnalysis"/>
    <hyperlink ref="B15" location="ESAV!A1" display="ESAV"/>
  </hyperlink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1"/>
  <sheetViews>
    <sheetView showGridLines="0" tabSelected="1" zoomScalePageLayoutView="0" workbookViewId="0" topLeftCell="A1">
      <pane xSplit="2" ySplit="1" topLeftCell="C3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6.28125" defaultRowHeight="15.75" customHeight="1"/>
  <cols>
    <col min="1" max="1" width="9.57421875" style="22" customWidth="1"/>
    <col min="2" max="2" width="16.28125" style="22" customWidth="1"/>
    <col min="3" max="3" width="9.57421875" style="22" customWidth="1"/>
    <col min="4" max="4" width="14.421875" style="22" customWidth="1"/>
    <col min="5" max="5" width="20.140625" style="23" customWidth="1"/>
    <col min="6" max="6" width="13.7109375" style="24" customWidth="1"/>
    <col min="7" max="7" width="11.00390625" style="24" hidden="1" customWidth="1"/>
    <col min="8" max="8" width="15.57421875" style="25" customWidth="1"/>
    <col min="9" max="9" width="21.140625" style="26" customWidth="1"/>
    <col min="10" max="20" width="6.57421875" style="27" hidden="1" customWidth="1"/>
    <col min="21" max="21" width="6.57421875" style="22" hidden="1" customWidth="1"/>
    <col min="22" max="22" width="16.28125" style="22" customWidth="1"/>
    <col min="23" max="23" width="16.28125" style="26" customWidth="1"/>
    <col min="24" max="16384" width="16.28125" style="22" customWidth="1"/>
  </cols>
  <sheetData>
    <row r="1" spans="1:24" ht="15.75" customHeight="1">
      <c r="A1" t="s">
        <v>61</v>
      </c>
      <c r="B1" t="s">
        <v>223</v>
      </c>
      <c r="C1" t="s">
        <v>224</v>
      </c>
      <c r="D1" t="s">
        <v>57</v>
      </c>
      <c r="E1" t="s">
        <v>225</v>
      </c>
      <c r="F1" t="s">
        <v>198</v>
      </c>
      <c r="G1" t="s">
        <v>226</v>
      </c>
      <c r="H1" t="s">
        <v>227</v>
      </c>
      <c r="I1" t="s">
        <v>228</v>
      </c>
      <c r="J1" t="s">
        <v>229</v>
      </c>
      <c r="K1" t="s">
        <v>230</v>
      </c>
      <c r="L1" t="s">
        <v>231</v>
      </c>
      <c r="M1" t="s">
        <v>232</v>
      </c>
      <c r="N1" t="s">
        <v>233</v>
      </c>
      <c r="O1" t="s">
        <v>234</v>
      </c>
      <c r="P1" t="s">
        <v>235</v>
      </c>
      <c r="Q1" t="s">
        <v>236</v>
      </c>
      <c r="R1" t="s">
        <v>237</v>
      </c>
      <c r="S1" t="s">
        <v>238</v>
      </c>
      <c r="T1" t="s">
        <v>239</v>
      </c>
      <c r="U1" t="s">
        <v>240</v>
      </c>
      <c r="V1" t="s">
        <v>241</v>
      </c>
      <c r="W1" t="s">
        <v>242</v>
      </c>
      <c r="X1" t="s">
        <v>26</v>
      </c>
    </row>
    <row r="2" spans="1:24" ht="15.75" customHeight="1">
      <c r="A2" t="s">
        <v>63</v>
      </c>
      <c r="B2" t="s">
        <v>243</v>
      </c>
      <c r="C2" t="s">
        <v>244</v>
      </c>
      <c r="D2" t="s">
        <v>245</v>
      </c>
      <c r="E2">
        <v>0.35</v>
      </c>
      <c r="F2">
        <v>1</v>
      </c>
      <c r="G2">
        <v>0</v>
      </c>
      <c r="H2">
        <v>700.72</v>
      </c>
      <c r="I2">
        <f>SUM(J2:U2)</f>
        <v>1551.3714350225787</v>
      </c>
      <c r="J2">
        <v>182.9320150526844</v>
      </c>
      <c r="K2">
        <v>190.8336999498244</v>
      </c>
      <c r="L2">
        <v>178.64616658304064</v>
      </c>
      <c r="M2">
        <v>136.08544405418968</v>
      </c>
      <c r="N2">
        <v>165.032041144004</v>
      </c>
      <c r="O2">
        <v>121.66314801806321</v>
      </c>
      <c r="P2">
        <v>111.443726041144</v>
      </c>
      <c r="Q2">
        <v>105.37825087807326</v>
      </c>
      <c r="R2">
        <v>85.02973808329152</v>
      </c>
      <c r="S2">
        <v>55.47778926241846</v>
      </c>
      <c r="T2">
        <v>31.224320120421474</v>
      </c>
      <c r="U2">
        <v>187.62509583542396</v>
      </c>
      <c r="V2">
        <f>SUM(J2:U2)/(H2*8760/1000)</f>
        <v>0.25273603690323265</v>
      </c>
      <c r="W2">
        <f>F2*I2</f>
        <v>1551.3714350225787</v>
      </c>
      <c r="X2" t="s">
        <v>246</v>
      </c>
    </row>
    <row r="3" spans="1:24" ht="15.75" customHeight="1">
      <c r="A3" t="s">
        <v>63</v>
      </c>
      <c r="B3" t="s">
        <v>247</v>
      </c>
      <c r="C3" t="s">
        <v>244</v>
      </c>
      <c r="D3" t="s">
        <v>245</v>
      </c>
      <c r="E3">
        <v>0.5</v>
      </c>
      <c r="F3">
        <v>1</v>
      </c>
      <c r="G3">
        <v>0</v>
      </c>
      <c r="H3">
        <v>37.26</v>
      </c>
      <c r="I3">
        <f aca="true" t="shared" si="0" ref="I3:I33">SUM(J3:U3)</f>
        <v>108.45595879396983</v>
      </c>
      <c r="J3">
        <v>13.588184924623114</v>
      </c>
      <c r="K3">
        <v>11.821724623115577</v>
      </c>
      <c r="L3">
        <v>10.715308542713567</v>
      </c>
      <c r="M3">
        <v>10.877546733668341</v>
      </c>
      <c r="N3">
        <v>9.969835175879396</v>
      </c>
      <c r="O3">
        <v>7.371336683417085</v>
      </c>
      <c r="P3">
        <v>6.006367839195979</v>
      </c>
      <c r="Q3">
        <v>4.9331648241206025</v>
      </c>
      <c r="R3">
        <v>4.235108542713568</v>
      </c>
      <c r="S3">
        <v>5.692938693467337</v>
      </c>
      <c r="T3">
        <v>9.758068341708542</v>
      </c>
      <c r="U3">
        <v>13.486373869346732</v>
      </c>
      <c r="V3">
        <f aca="true" t="shared" si="1" ref="V3:V33">SUM(J3:U3)/(H3*8760/1000)</f>
        <v>0.33228172876874656</v>
      </c>
      <c r="W3">
        <f aca="true" t="shared" si="2" ref="W3:W22">F3*I3</f>
        <v>108.45595879396983</v>
      </c>
      <c r="X3" t="s">
        <v>246</v>
      </c>
    </row>
    <row r="4" spans="1:24" ht="15.75" customHeight="1">
      <c r="A4" t="s">
        <v>63</v>
      </c>
      <c r="B4" t="s">
        <v>248</v>
      </c>
      <c r="C4" t="s">
        <v>244</v>
      </c>
      <c r="D4" t="s">
        <v>245</v>
      </c>
      <c r="E4">
        <v>0.4</v>
      </c>
      <c r="F4">
        <v>1</v>
      </c>
      <c r="G4">
        <v>0</v>
      </c>
      <c r="H4">
        <v>59.38</v>
      </c>
      <c r="I4">
        <f t="shared" si="0"/>
        <v>201.83519779116472</v>
      </c>
      <c r="J4">
        <v>23.24103012048193</v>
      </c>
      <c r="K4">
        <v>25.38744979919679</v>
      </c>
      <c r="L4">
        <v>25.33345281124498</v>
      </c>
      <c r="M4">
        <v>24.89699497991968</v>
      </c>
      <c r="N4">
        <v>27.199948795180728</v>
      </c>
      <c r="O4">
        <v>17.917931726907632</v>
      </c>
      <c r="P4">
        <v>11.190877510040162</v>
      </c>
      <c r="Q4">
        <v>9.516642570281125</v>
      </c>
      <c r="R4">
        <v>7.900246987951808</v>
      </c>
      <c r="S4">
        <v>8.205437751004016</v>
      </c>
      <c r="T4">
        <v>7.957292168674699</v>
      </c>
      <c r="U4">
        <v>13.087892570281124</v>
      </c>
      <c r="V4">
        <f t="shared" si="1"/>
        <v>0.3880186543121477</v>
      </c>
      <c r="W4">
        <f t="shared" si="2"/>
        <v>201.83519779116472</v>
      </c>
      <c r="X4" t="s">
        <v>246</v>
      </c>
    </row>
    <row r="5" spans="1:24" ht="15.75" customHeight="1">
      <c r="A5" t="s">
        <v>63</v>
      </c>
      <c r="B5" t="s">
        <v>249</v>
      </c>
      <c r="C5" t="s">
        <v>244</v>
      </c>
      <c r="D5" t="s">
        <v>245</v>
      </c>
      <c r="E5">
        <v>1.0131520986722047</v>
      </c>
      <c r="F5">
        <v>1</v>
      </c>
      <c r="G5">
        <v>0</v>
      </c>
      <c r="H5">
        <v>305.69</v>
      </c>
      <c r="I5">
        <f t="shared" si="0"/>
        <v>745.7868137551811</v>
      </c>
      <c r="J5">
        <v>123.92543514698029</v>
      </c>
      <c r="K5">
        <v>102.93388077329944</v>
      </c>
      <c r="L5">
        <v>75.009200286904</v>
      </c>
      <c r="M5">
        <v>102.73684853706293</v>
      </c>
      <c r="N5">
        <v>90.05446065810553</v>
      </c>
      <c r="O5">
        <v>57.74944774176732</v>
      </c>
      <c r="P5">
        <v>37.85963266287349</v>
      </c>
      <c r="Q5">
        <v>22.854227081309595</v>
      </c>
      <c r="R5">
        <v>29.92072949885569</v>
      </c>
      <c r="S5">
        <v>34.649119279148124</v>
      </c>
      <c r="T5">
        <v>34.046916044437374</v>
      </c>
      <c r="U5">
        <v>34.046916044437374</v>
      </c>
      <c r="V5">
        <f t="shared" si="1"/>
        <v>0.27850266944381874</v>
      </c>
      <c r="W5">
        <f t="shared" si="2"/>
        <v>745.7868137551811</v>
      </c>
      <c r="X5" t="s">
        <v>246</v>
      </c>
    </row>
    <row r="6" spans="1:24" ht="15.75" customHeight="1">
      <c r="A6" t="s">
        <v>65</v>
      </c>
      <c r="B6" t="s">
        <v>250</v>
      </c>
      <c r="C6" t="s">
        <v>244</v>
      </c>
      <c r="D6" t="s">
        <v>251</v>
      </c>
      <c r="E6">
        <v>6.675</v>
      </c>
      <c r="F6">
        <f>G6</f>
        <v>0.5010233498772576</v>
      </c>
      <c r="G6">
        <v>0.5010233498772576</v>
      </c>
      <c r="H6">
        <v>1600</v>
      </c>
      <c r="I6">
        <f t="shared" si="0"/>
        <v>11959.110265202251</v>
      </c>
      <c r="J6">
        <v>1001.3034020894723</v>
      </c>
      <c r="K6">
        <v>754.8703991427807</v>
      </c>
      <c r="L6">
        <v>1029.052911867131</v>
      </c>
      <c r="M6">
        <v>1009.9184570050897</v>
      </c>
      <c r="N6">
        <v>1102.3541387623895</v>
      </c>
      <c r="O6">
        <v>868.2599517814091</v>
      </c>
      <c r="P6">
        <v>1105.927457808733</v>
      </c>
      <c r="Q6">
        <v>985.8541655504956</v>
      </c>
      <c r="R6">
        <v>1102.9202250200913</v>
      </c>
      <c r="S6">
        <v>890.6063755692473</v>
      </c>
      <c r="T6">
        <v>1015.3629788373962</v>
      </c>
      <c r="U6">
        <v>1092.679801768015</v>
      </c>
      <c r="V6">
        <f t="shared" si="1"/>
        <v>0.853247022346051</v>
      </c>
      <c r="W6">
        <f t="shared" si="2"/>
        <v>5991.793486623131</v>
      </c>
      <c r="X6" t="s">
        <v>252</v>
      </c>
    </row>
    <row r="7" spans="1:24" ht="15.75" customHeight="1">
      <c r="A7" t="s">
        <v>65</v>
      </c>
      <c r="B7" t="s">
        <v>253</v>
      </c>
      <c r="C7" t="s">
        <v>244</v>
      </c>
      <c r="D7" t="s">
        <v>251</v>
      </c>
      <c r="E7">
        <v>4.475</v>
      </c>
      <c r="F7">
        <f>G7</f>
        <v>0.476947944676652</v>
      </c>
      <c r="G7">
        <v>0.476947944676652</v>
      </c>
      <c r="H7">
        <v>1800</v>
      </c>
      <c r="I7">
        <f t="shared" si="0"/>
        <v>13310.27069353572</v>
      </c>
      <c r="J7">
        <v>1210.5583219052603</v>
      </c>
      <c r="K7">
        <v>1143.9883747710023</v>
      </c>
      <c r="L7">
        <v>1013.8355100758963</v>
      </c>
      <c r="M7">
        <v>826.8762721800575</v>
      </c>
      <c r="N7">
        <v>1148.4164700340223</v>
      </c>
      <c r="O7">
        <v>1252.9935608479454</v>
      </c>
      <c r="P7">
        <v>989.8960387333159</v>
      </c>
      <c r="Q7">
        <v>1170.3540874116723</v>
      </c>
      <c r="R7">
        <v>1171.3398304108873</v>
      </c>
      <c r="S7">
        <v>903.8385783826222</v>
      </c>
      <c r="T7">
        <v>1194.9831510075896</v>
      </c>
      <c r="U7">
        <v>1283.1904977754514</v>
      </c>
      <c r="V7">
        <f t="shared" si="1"/>
        <v>0.8441318298792314</v>
      </c>
      <c r="W7">
        <f t="shared" si="2"/>
        <v>6348.306250371737</v>
      </c>
      <c r="X7" t="s">
        <v>252</v>
      </c>
    </row>
    <row r="8" spans="1:24" ht="15.75" customHeight="1">
      <c r="A8" t="s">
        <v>65</v>
      </c>
      <c r="B8" t="s">
        <v>254</v>
      </c>
      <c r="C8" t="s">
        <v>244</v>
      </c>
      <c r="D8" t="s">
        <v>187</v>
      </c>
      <c r="E8">
        <v>6.75</v>
      </c>
      <c r="F8">
        <f>G8</f>
        <v>0.32337023304238405</v>
      </c>
      <c r="G8">
        <v>0.32337023304238405</v>
      </c>
      <c r="H8">
        <v>100</v>
      </c>
      <c r="I8">
        <f t="shared" si="0"/>
        <v>62.034049329758716</v>
      </c>
      <c r="J8">
        <v>7.798644504021448</v>
      </c>
      <c r="K8">
        <v>2.1912310991957105</v>
      </c>
      <c r="L8">
        <v>13.287312600536193</v>
      </c>
      <c r="M8">
        <v>10.066191957104557</v>
      </c>
      <c r="N8">
        <v>25.431546380697053</v>
      </c>
      <c r="O8">
        <v>4.16121072386059</v>
      </c>
      <c r="P8">
        <v>-0.17979624664879357</v>
      </c>
      <c r="Q8">
        <v>-0.23901876675603217</v>
      </c>
      <c r="R8">
        <v>-0.27279571045576406</v>
      </c>
      <c r="S8">
        <v>-0.21047721179624665</v>
      </c>
      <c r="T8">
        <v>0</v>
      </c>
      <c r="U8">
        <v>0</v>
      </c>
      <c r="V8">
        <f t="shared" si="1"/>
        <v>0.07081512480566063</v>
      </c>
      <c r="W8">
        <f t="shared" si="2"/>
        <v>20.059964988326826</v>
      </c>
      <c r="X8" t="s">
        <v>255</v>
      </c>
    </row>
    <row r="9" spans="1:24" ht="15.75" customHeight="1">
      <c r="A9" t="s">
        <v>65</v>
      </c>
      <c r="B9" t="s">
        <v>256</v>
      </c>
      <c r="C9" t="s">
        <v>244</v>
      </c>
      <c r="D9" t="s">
        <v>187</v>
      </c>
      <c r="E9">
        <v>6.85</v>
      </c>
      <c r="F9">
        <v>0.29</v>
      </c>
      <c r="G9">
        <v>0.3231134410266241</v>
      </c>
      <c r="H9">
        <v>300</v>
      </c>
      <c r="I9">
        <f t="shared" si="0"/>
        <v>1255.8245625335478</v>
      </c>
      <c r="J9">
        <v>111.91540526033279</v>
      </c>
      <c r="K9">
        <v>103.34224369296832</v>
      </c>
      <c r="L9">
        <v>97.26373698336016</v>
      </c>
      <c r="M9">
        <v>88.29701663982823</v>
      </c>
      <c r="N9">
        <v>137.1632946859903</v>
      </c>
      <c r="O9">
        <v>103.27845195920557</v>
      </c>
      <c r="P9">
        <v>120.36854535695115</v>
      </c>
      <c r="Q9">
        <v>120.63253998926461</v>
      </c>
      <c r="R9">
        <v>84.53152871712291</v>
      </c>
      <c r="S9">
        <v>87.49054428341384</v>
      </c>
      <c r="T9">
        <v>101.08627911969941</v>
      </c>
      <c r="U9">
        <v>100.45497584541062</v>
      </c>
      <c r="V9">
        <f t="shared" si="1"/>
        <v>0.47786322775249157</v>
      </c>
      <c r="W9">
        <f>F9*I9</f>
        <v>364.18912313472885</v>
      </c>
      <c r="X9" t="s">
        <v>255</v>
      </c>
    </row>
    <row r="10" spans="1:24" ht="15.75" customHeight="1">
      <c r="A10" t="s">
        <v>65</v>
      </c>
      <c r="B10" t="s">
        <v>257</v>
      </c>
      <c r="C10" t="s">
        <v>244</v>
      </c>
      <c r="D10" t="s">
        <v>187</v>
      </c>
      <c r="E10">
        <v>6.85</v>
      </c>
      <c r="F10">
        <v>0.32855803292352576</v>
      </c>
      <c r="G10">
        <v>0.42625525850133716</v>
      </c>
      <c r="H10">
        <v>100</v>
      </c>
      <c r="I10">
        <f t="shared" si="0"/>
        <v>356.5912399355877</v>
      </c>
      <c r="J10">
        <v>18.263505099302197</v>
      </c>
      <c r="K10">
        <v>40.67913687600643</v>
      </c>
      <c r="L10">
        <v>39.65079119699409</v>
      </c>
      <c r="M10">
        <v>37.08657434245839</v>
      </c>
      <c r="N10">
        <v>33.63724422973698</v>
      </c>
      <c r="O10">
        <v>38.40391411701556</v>
      </c>
      <c r="P10">
        <v>30.153228126677398</v>
      </c>
      <c r="Q10">
        <v>28.381746645195918</v>
      </c>
      <c r="R10">
        <v>23.0109704777241</v>
      </c>
      <c r="S10">
        <v>23.82408158883521</v>
      </c>
      <c r="T10">
        <v>23.007056360708532</v>
      </c>
      <c r="U10">
        <v>20.492990874932904</v>
      </c>
      <c r="V10">
        <f t="shared" si="1"/>
        <v>0.40706762549724623</v>
      </c>
      <c r="W10">
        <f t="shared" si="2"/>
        <v>117.1609163509977</v>
      </c>
      <c r="X10" t="s">
        <v>255</v>
      </c>
    </row>
    <row r="11" spans="1:24" ht="15.75" customHeight="1">
      <c r="A11" t="s">
        <v>69</v>
      </c>
      <c r="B11" t="s">
        <v>258</v>
      </c>
      <c r="C11" t="s">
        <v>244</v>
      </c>
      <c r="D11" t="s">
        <v>259</v>
      </c>
      <c r="E11">
        <v>1.666510000000004</v>
      </c>
      <c r="F11">
        <v>0.008166666666666666</v>
      </c>
      <c r="G11">
        <v>0.008520264284771352</v>
      </c>
      <c r="H11">
        <v>1180</v>
      </c>
      <c r="I11">
        <f t="shared" si="0"/>
        <v>3918.6661330871157</v>
      </c>
      <c r="J11">
        <v>343.71378459159746</v>
      </c>
      <c r="K11">
        <v>294.28887350586257</v>
      </c>
      <c r="L11">
        <v>306.0509700204885</v>
      </c>
      <c r="M11">
        <v>297.05585553812847</v>
      </c>
      <c r="N11">
        <v>366.0675727059011</v>
      </c>
      <c r="O11">
        <v>284.17233640339623</v>
      </c>
      <c r="P11">
        <v>354.95892701459087</v>
      </c>
      <c r="Q11">
        <v>370.62863526963196</v>
      </c>
      <c r="R11">
        <v>338.2253909629365</v>
      </c>
      <c r="S11">
        <v>347.5203676794142</v>
      </c>
      <c r="T11">
        <v>307.9917096975838</v>
      </c>
      <c r="U11">
        <v>307.9917096975838</v>
      </c>
      <c r="V11">
        <f t="shared" si="1"/>
        <v>0.37909857335801367</v>
      </c>
      <c r="W11">
        <f t="shared" si="2"/>
        <v>32.00244008687811</v>
      </c>
      <c r="X11" t="s">
        <v>206</v>
      </c>
    </row>
    <row r="12" spans="1:24" ht="15.75" customHeight="1">
      <c r="A12" t="s">
        <v>69</v>
      </c>
      <c r="B12" t="s">
        <v>260</v>
      </c>
      <c r="C12" t="s">
        <v>244</v>
      </c>
      <c r="D12" t="s">
        <v>189</v>
      </c>
      <c r="E12">
        <v>1.725</v>
      </c>
      <c r="F12">
        <v>0.25093</v>
      </c>
      <c r="G12"/>
      <c r="H12">
        <v>1180</v>
      </c>
      <c r="I12">
        <f t="shared" si="0"/>
        <v>3342.0730255786257</v>
      </c>
      <c r="J12">
        <v>367.63279877893666</v>
      </c>
      <c r="K12">
        <v>316.56022080895445</v>
      </c>
      <c r="L12">
        <v>370.3717537522259</v>
      </c>
      <c r="M12">
        <v>326.17399847367085</v>
      </c>
      <c r="N12">
        <v>311.43972322564235</v>
      </c>
      <c r="O12">
        <v>306.6492159755787</v>
      </c>
      <c r="P12">
        <v>265.24000203510553</v>
      </c>
      <c r="Q12">
        <v>192.43116458916307</v>
      </c>
      <c r="R12">
        <v>105.82289697278046</v>
      </c>
      <c r="S12">
        <v>267.67482676163826</v>
      </c>
      <c r="T12">
        <v>237.22818920752727</v>
      </c>
      <c r="U12">
        <v>274.8482349974026</v>
      </c>
      <c r="V12">
        <f t="shared" si="1"/>
        <v>0.32331795387147144</v>
      </c>
      <c r="W12">
        <f t="shared" si="2"/>
        <v>838.6263843084445</v>
      </c>
      <c r="X12" t="str">
        <f>X10</f>
        <v>1000 KL</v>
      </c>
    </row>
    <row r="13" spans="1:24" ht="15.75" customHeight="1">
      <c r="A13" t="s">
        <v>69</v>
      </c>
      <c r="B13" t="s">
        <v>261</v>
      </c>
      <c r="C13" t="s">
        <v>244</v>
      </c>
      <c r="D13" t="s">
        <v>189</v>
      </c>
      <c r="E13">
        <v>2.41</v>
      </c>
      <c r="F13">
        <v>0.2266253</v>
      </c>
      <c r="G13">
        <v>0.27077112051998564</v>
      </c>
      <c r="H13">
        <v>1033.9</v>
      </c>
      <c r="I13">
        <f t="shared" si="0"/>
        <v>3387.556312122143</v>
      </c>
      <c r="J13">
        <v>262.5143006455579</v>
      </c>
      <c r="K13">
        <v>266.4615841787068</v>
      </c>
      <c r="L13">
        <v>363.58470949892404</v>
      </c>
      <c r="M13">
        <v>360.46568500870984</v>
      </c>
      <c r="N13">
        <v>388.19966082590423</v>
      </c>
      <c r="O13">
        <v>232.8114007582744</v>
      </c>
      <c r="P13">
        <v>245.49290501075927</v>
      </c>
      <c r="Q13">
        <v>238.40008095091707</v>
      </c>
      <c r="R13">
        <v>300.5371636438159</v>
      </c>
      <c r="S13">
        <v>221.08830925299722</v>
      </c>
      <c r="T13">
        <v>321.0408556204529</v>
      </c>
      <c r="U13">
        <v>186.95965672712367</v>
      </c>
      <c r="V13">
        <f t="shared" si="1"/>
        <v>0.3740277991744411</v>
      </c>
      <c r="W13">
        <f t="shared" si="2"/>
        <v>767.7059655015743</v>
      </c>
      <c r="X13" t="s">
        <v>255</v>
      </c>
    </row>
    <row r="14" spans="1:24" ht="15.75" customHeight="1">
      <c r="A14" t="s">
        <v>69</v>
      </c>
      <c r="B14" t="s">
        <v>262</v>
      </c>
      <c r="C14" t="s">
        <v>244</v>
      </c>
      <c r="D14" t="s">
        <v>189</v>
      </c>
      <c r="E14">
        <v>3.6</v>
      </c>
      <c r="F14">
        <v>0.2266253</v>
      </c>
      <c r="G14">
        <v>0.2746959372028957</v>
      </c>
      <c r="H14">
        <v>461.83</v>
      </c>
      <c r="I14">
        <f t="shared" si="0"/>
        <v>1149.3159688796677</v>
      </c>
      <c r="J14">
        <v>133.81970435684644</v>
      </c>
      <c r="K14">
        <v>121.32165145228214</v>
      </c>
      <c r="L14">
        <v>157.15083506224065</v>
      </c>
      <c r="M14">
        <v>44.50270746887966</v>
      </c>
      <c r="N14">
        <v>120.66056639004147</v>
      </c>
      <c r="O14">
        <v>41.810596473029044</v>
      </c>
      <c r="P14">
        <v>18.434184647302903</v>
      </c>
      <c r="Q14">
        <v>77.45297925311202</v>
      </c>
      <c r="R14">
        <v>109.4458599585062</v>
      </c>
      <c r="S14">
        <v>67.0958101659751</v>
      </c>
      <c r="T14">
        <v>178.1275570539419</v>
      </c>
      <c r="U14">
        <v>79.49351659751036</v>
      </c>
      <c r="V14">
        <f t="shared" si="1"/>
        <v>0.28408819926911466</v>
      </c>
      <c r="W14">
        <f t="shared" si="2"/>
        <v>260.4640762421454</v>
      </c>
      <c r="X14" t="s">
        <v>255</v>
      </c>
    </row>
    <row r="15" spans="1:24" ht="15.75" customHeight="1">
      <c r="A15" t="s">
        <v>69</v>
      </c>
      <c r="B15" t="s">
        <v>263</v>
      </c>
      <c r="C15" t="s">
        <v>244</v>
      </c>
      <c r="D15" t="s">
        <v>189</v>
      </c>
      <c r="E15">
        <v>3.5</v>
      </c>
      <c r="F15">
        <v>0.35475000000000007</v>
      </c>
      <c r="G15">
        <v>0.4597400520351623</v>
      </c>
      <c r="H15">
        <v>302.25</v>
      </c>
      <c r="I15">
        <f t="shared" si="0"/>
        <v>342.07888082901553</v>
      </c>
      <c r="J15">
        <v>9.61279792746114</v>
      </c>
      <c r="K15">
        <v>11.418663212435233</v>
      </c>
      <c r="L15">
        <v>26.52543005181347</v>
      </c>
      <c r="M15">
        <v>81.24719170984456</v>
      </c>
      <c r="N15">
        <v>28.545316062176166</v>
      </c>
      <c r="O15">
        <v>13.858901554404143</v>
      </c>
      <c r="P15">
        <v>30.906165803108806</v>
      </c>
      <c r="Q15">
        <v>29.171906735751293</v>
      </c>
      <c r="R15">
        <v>27.356383419689116</v>
      </c>
      <c r="S15">
        <v>19.517523316062174</v>
      </c>
      <c r="T15">
        <v>47.32417616580311</v>
      </c>
      <c r="U15">
        <v>16.59442487046632</v>
      </c>
      <c r="V15">
        <f t="shared" si="1"/>
        <v>0.12919801671218356</v>
      </c>
      <c r="W15">
        <f t="shared" si="2"/>
        <v>121.35248297409328</v>
      </c>
      <c r="X15" t="s">
        <v>255</v>
      </c>
    </row>
    <row r="16" spans="1:24" ht="15.75" customHeight="1">
      <c r="A16" t="s">
        <v>67</v>
      </c>
      <c r="B16" t="s">
        <v>254</v>
      </c>
      <c r="C16" t="s">
        <v>244</v>
      </c>
      <c r="D16" t="s">
        <v>189</v>
      </c>
      <c r="E16">
        <v>1.65</v>
      </c>
      <c r="F16">
        <v>0.45785000000000003</v>
      </c>
      <c r="G16">
        <v>0.44936075218211347</v>
      </c>
      <c r="H16">
        <v>52</v>
      </c>
      <c r="I16">
        <f t="shared" si="0"/>
        <v>3.504053889171328</v>
      </c>
      <c r="J16">
        <v>0.06043213014743265</v>
      </c>
      <c r="K16">
        <v>0.7271469242501273</v>
      </c>
      <c r="L16">
        <v>0.3731520081342146</v>
      </c>
      <c r="M16">
        <v>-0.0033136756481952218</v>
      </c>
      <c r="N16">
        <v>1.7632058973055418</v>
      </c>
      <c r="O16">
        <v>0.06769598373157093</v>
      </c>
      <c r="P16">
        <v>0.3842175902389426</v>
      </c>
      <c r="Q16">
        <v>0.17504524656837828</v>
      </c>
      <c r="R16">
        <v>-0.022979156075241487</v>
      </c>
      <c r="S16">
        <v>-0.020549059481443824</v>
      </c>
      <c r="T16">
        <v>0</v>
      </c>
      <c r="U16">
        <v>0</v>
      </c>
      <c r="V16">
        <f t="shared" si="1"/>
        <v>0.007692425994843976</v>
      </c>
      <c r="W16">
        <f>F16*I16</f>
        <v>1.6043310731570926</v>
      </c>
      <c r="X16" t="s">
        <v>255</v>
      </c>
    </row>
    <row r="17" spans="1:24" ht="15.75" customHeight="1">
      <c r="A17" t="s">
        <v>67</v>
      </c>
      <c r="B17" t="s">
        <v>264</v>
      </c>
      <c r="C17" t="s">
        <v>244</v>
      </c>
      <c r="D17" t="s">
        <v>259</v>
      </c>
      <c r="E17">
        <v>2.4</v>
      </c>
      <c r="F17">
        <v>0.0149</v>
      </c>
      <c r="G17">
        <v>0.017485588314546722</v>
      </c>
      <c r="H17">
        <v>40.06</v>
      </c>
      <c r="I17">
        <f t="shared" si="0"/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f t="shared" si="1"/>
        <v>0</v>
      </c>
      <c r="W17">
        <f t="shared" si="2"/>
        <v>0</v>
      </c>
      <c r="X17" t="s">
        <v>206</v>
      </c>
    </row>
    <row r="18" spans="1:24" ht="15.75" customHeight="1">
      <c r="A18" t="s">
        <v>67</v>
      </c>
      <c r="B18" t="s">
        <v>265</v>
      </c>
      <c r="C18" t="s">
        <v>244</v>
      </c>
      <c r="D18" t="s">
        <v>189</v>
      </c>
      <c r="E18">
        <v>6</v>
      </c>
      <c r="F18">
        <v>0.45310610225398573</v>
      </c>
      <c r="G18">
        <v>0.48533260811361095</v>
      </c>
      <c r="H18">
        <v>40.2</v>
      </c>
      <c r="I18">
        <f t="shared" si="0"/>
        <v>146.84909680851067</v>
      </c>
      <c r="J18">
        <v>9.122393617021276</v>
      </c>
      <c r="K18">
        <v>11.057625531914894</v>
      </c>
      <c r="L18">
        <v>16.391377659574466</v>
      </c>
      <c r="M18">
        <v>16.05185319148936</v>
      </c>
      <c r="N18">
        <v>7.310863829787234</v>
      </c>
      <c r="O18">
        <v>11.239355319148936</v>
      </c>
      <c r="P18">
        <v>13.306884042553191</v>
      </c>
      <c r="Q18">
        <v>12.304312765957446</v>
      </c>
      <c r="R18">
        <v>11.309687234042554</v>
      </c>
      <c r="S18">
        <v>11.95619574468085</v>
      </c>
      <c r="T18">
        <v>15.874170212765955</v>
      </c>
      <c r="U18">
        <v>10.92437765957447</v>
      </c>
      <c r="V18">
        <f t="shared" si="1"/>
        <v>0.4170048638329774</v>
      </c>
      <c r="W18">
        <f t="shared" si="2"/>
        <v>66.53822187442249</v>
      </c>
      <c r="X18" t="s">
        <v>255</v>
      </c>
    </row>
    <row r="19" spans="1:24" ht="15.75" customHeight="1">
      <c r="A19" t="s">
        <v>67</v>
      </c>
      <c r="B19" t="s">
        <v>266</v>
      </c>
      <c r="C19" t="s">
        <v>244</v>
      </c>
      <c r="D19" t="s">
        <v>189</v>
      </c>
      <c r="E19">
        <v>1.52</v>
      </c>
      <c r="F19">
        <v>0.4393139087410665</v>
      </c>
      <c r="G19">
        <v>0.46976903593958635</v>
      </c>
      <c r="H19">
        <v>125.45</v>
      </c>
      <c r="I19">
        <f t="shared" si="0"/>
        <v>544.6070105605199</v>
      </c>
      <c r="J19">
        <v>39.89385763606823</v>
      </c>
      <c r="K19">
        <v>37.38593318440292</v>
      </c>
      <c r="L19">
        <v>46.756711007311125</v>
      </c>
      <c r="M19">
        <v>42.43715373679935</v>
      </c>
      <c r="N19">
        <v>54.346849106417544</v>
      </c>
      <c r="O19">
        <v>49.80460601137286</v>
      </c>
      <c r="P19">
        <v>53.22829102355808</v>
      </c>
      <c r="Q19">
        <v>50.24947806661251</v>
      </c>
      <c r="R19">
        <v>30.546032696994313</v>
      </c>
      <c r="S19">
        <v>37.01917952883834</v>
      </c>
      <c r="T19">
        <v>49.83242079610073</v>
      </c>
      <c r="U19">
        <v>53.10649776604387</v>
      </c>
      <c r="V19">
        <f t="shared" si="1"/>
        <v>0.4955739343482367</v>
      </c>
      <c r="W19">
        <f t="shared" si="2"/>
        <v>239.2534345371293</v>
      </c>
      <c r="X19" t="s">
        <v>255</v>
      </c>
    </row>
    <row r="20" spans="1:24" ht="15.75" customHeight="1">
      <c r="A20" t="s">
        <v>67</v>
      </c>
      <c r="B20" t="s">
        <v>267</v>
      </c>
      <c r="C20" t="s">
        <v>244</v>
      </c>
      <c r="D20" t="s">
        <v>189</v>
      </c>
      <c r="E20">
        <v>1.5</v>
      </c>
      <c r="F20">
        <v>0.4393139087410665</v>
      </c>
      <c r="G20">
        <v>0.45839078845735853</v>
      </c>
      <c r="H20">
        <v>133.8</v>
      </c>
      <c r="I20">
        <f t="shared" si="0"/>
        <v>621.9394172588832</v>
      </c>
      <c r="J20">
        <v>61.80335837563452</v>
      </c>
      <c r="K20">
        <v>57.28555736040609</v>
      </c>
      <c r="L20">
        <v>58.93986192893401</v>
      </c>
      <c r="M20">
        <v>63.71948223350253</v>
      </c>
      <c r="N20">
        <v>68.310269035533</v>
      </c>
      <c r="O20">
        <v>41.03345279187817</v>
      </c>
      <c r="P20">
        <v>-0.12027715736040608</v>
      </c>
      <c r="Q20">
        <v>35.23602030456852</v>
      </c>
      <c r="R20">
        <v>59.57834822335025</v>
      </c>
      <c r="S20">
        <v>59.95756243654822</v>
      </c>
      <c r="T20">
        <v>62.941049746192895</v>
      </c>
      <c r="U20">
        <v>53.25473197969543</v>
      </c>
      <c r="V20">
        <f t="shared" si="1"/>
        <v>0.5306251896264471</v>
      </c>
      <c r="W20">
        <f t="shared" si="2"/>
        <v>273.2266363961411</v>
      </c>
      <c r="X20" t="s">
        <v>255</v>
      </c>
    </row>
    <row r="21" spans="1:24" ht="15.75" customHeight="1">
      <c r="A21" t="s">
        <v>67</v>
      </c>
      <c r="B21" t="s">
        <v>73</v>
      </c>
      <c r="C21" t="s">
        <v>244</v>
      </c>
      <c r="D21" t="s">
        <v>189</v>
      </c>
      <c r="E21">
        <v>2.501</v>
      </c>
      <c r="F21">
        <v>0.468499175371083</v>
      </c>
      <c r="G21">
        <v>0.5047072019549788</v>
      </c>
      <c r="H21">
        <v>55</v>
      </c>
      <c r="I21">
        <f t="shared" si="0"/>
        <v>19.021984840870164</v>
      </c>
      <c r="J21">
        <v>3.548313316034011</v>
      </c>
      <c r="K21">
        <v>1.7139724509994976</v>
      </c>
      <c r="L21">
        <v>2.865472466384271</v>
      </c>
      <c r="M21">
        <v>3.9798356906224686</v>
      </c>
      <c r="N21">
        <v>5.400611288320906</v>
      </c>
      <c r="O21">
        <v>0.8314608354957488</v>
      </c>
      <c r="P21">
        <v>0.16393809167273513</v>
      </c>
      <c r="Q21">
        <v>0.441267089918871</v>
      </c>
      <c r="R21">
        <v>0.011535502928235164</v>
      </c>
      <c r="S21">
        <v>0.06557810849342045</v>
      </c>
      <c r="T21">
        <v>0</v>
      </c>
      <c r="U21">
        <v>0</v>
      </c>
      <c r="V21">
        <f t="shared" si="1"/>
        <v>0.039481081031278877</v>
      </c>
      <c r="W21">
        <f t="shared" si="2"/>
        <v>8.911784211868913</v>
      </c>
      <c r="X21" t="s">
        <v>255</v>
      </c>
    </row>
    <row r="22" spans="1:24" ht="15.75" customHeight="1">
      <c r="A22" t="s">
        <v>67</v>
      </c>
      <c r="B22" t="s">
        <v>268</v>
      </c>
      <c r="C22" t="s">
        <v>244</v>
      </c>
      <c r="D22" t="s">
        <v>189</v>
      </c>
      <c r="E22">
        <v>1.52</v>
      </c>
      <c r="F22">
        <v>0.4393139087410665</v>
      </c>
      <c r="G22">
        <v>0.47172144467674454</v>
      </c>
      <c r="H22">
        <v>97.64</v>
      </c>
      <c r="I22">
        <f t="shared" si="0"/>
        <v>117.06319049553208</v>
      </c>
      <c r="J22">
        <v>0.16348497156783104</v>
      </c>
      <c r="K22">
        <v>3.0950446791226645</v>
      </c>
      <c r="L22">
        <v>4.14906580016247</v>
      </c>
      <c r="M22">
        <v>8.813972380178715</v>
      </c>
      <c r="N22">
        <v>9.363992688870836</v>
      </c>
      <c r="O22">
        <v>13.4983448415922</v>
      </c>
      <c r="P22">
        <v>39.15008123476848</v>
      </c>
      <c r="Q22">
        <v>17.46344435418359</v>
      </c>
      <c r="R22">
        <v>-0.21527213647441104</v>
      </c>
      <c r="S22">
        <v>1.6906986190089357</v>
      </c>
      <c r="T22">
        <v>7.110073111291632</v>
      </c>
      <c r="U22">
        <v>12.780259951259138</v>
      </c>
      <c r="V22">
        <f t="shared" si="1"/>
        <v>0.1368637639333149</v>
      </c>
      <c r="W22">
        <f t="shared" si="2"/>
        <v>51.42748778629227</v>
      </c>
      <c r="X22" t="s">
        <v>255</v>
      </c>
    </row>
    <row r="23" spans="1:24" ht="15.75" customHeight="1">
      <c r="A23" t="s">
        <v>71</v>
      </c>
      <c r="B23" t="s">
        <v>266</v>
      </c>
      <c r="C23" t="s">
        <v>244</v>
      </c>
      <c r="D23" t="s">
        <v>189</v>
      </c>
      <c r="E23">
        <v>6.748637278208512</v>
      </c>
      <c r="F23">
        <v>0.30863111599780096</v>
      </c>
      <c r="G23">
        <v>0.40122361683091334</v>
      </c>
      <c r="H23">
        <v>75.84</v>
      </c>
      <c r="I23">
        <f t="shared" si="0"/>
        <v>108.20288310534359</v>
      </c>
      <c r="J23">
        <v>13.424021520572058</v>
      </c>
      <c r="K23">
        <v>12.98533302524093</v>
      </c>
      <c r="L23">
        <v>10.676908850870166</v>
      </c>
      <c r="M23">
        <v>11.348770346202066</v>
      </c>
      <c r="N23">
        <v>10.0086333621149</v>
      </c>
      <c r="O23">
        <v>4.721840916294771</v>
      </c>
      <c r="P23">
        <v>4.700246593796689</v>
      </c>
      <c r="Q23">
        <v>6.100715135898559</v>
      </c>
      <c r="R23">
        <v>13.786150276810691</v>
      </c>
      <c r="S23">
        <v>11.778268627310194</v>
      </c>
      <c r="T23">
        <v>3.3752096571394037</v>
      </c>
      <c r="U23">
        <v>5.296784793093164</v>
      </c>
      <c r="V23">
        <f t="shared" si="1"/>
        <v>0.16286823965098293</v>
      </c>
      <c r="W23">
        <f>F23*I23</f>
        <v>33.3947765669818</v>
      </c>
      <c r="X23" t="s">
        <v>255</v>
      </c>
    </row>
    <row r="24" spans="1:24" ht="15.75" customHeight="1">
      <c r="A24" t="s">
        <v>70</v>
      </c>
      <c r="B24" t="s">
        <v>269</v>
      </c>
      <c r="C24" t="s">
        <v>244</v>
      </c>
      <c r="D24" t="s">
        <v>270</v>
      </c>
      <c r="E24">
        <v>5.5</v>
      </c>
      <c r="F24">
        <v>1</v>
      </c>
      <c r="G24"/>
      <c r="H24">
        <v>145</v>
      </c>
      <c r="I24">
        <f t="shared" si="0"/>
        <v>1055.224474074074</v>
      </c>
      <c r="J24">
        <v>64.15088042328043</v>
      </c>
      <c r="K24">
        <v>55.33693756613756</v>
      </c>
      <c r="L24">
        <v>63.58970687830687</v>
      </c>
      <c r="M24">
        <v>61.237821164021156</v>
      </c>
      <c r="N24">
        <v>84.9934402116402</v>
      </c>
      <c r="O24">
        <v>102.10194603174602</v>
      </c>
      <c r="P24">
        <v>105.81598518518517</v>
      </c>
      <c r="Q24">
        <v>105.9907544973545</v>
      </c>
      <c r="R24">
        <v>102.8277111111111</v>
      </c>
      <c r="S24">
        <v>105.28474074074073</v>
      </c>
      <c r="T24">
        <v>97.89509735449735</v>
      </c>
      <c r="U24">
        <v>105.99945291005291</v>
      </c>
      <c r="V24">
        <f t="shared" si="1"/>
        <v>0.8307545851630246</v>
      </c>
      <c r="W24">
        <f>F24*I24</f>
        <v>1055.224474074074</v>
      </c>
      <c r="X24" t="s">
        <v>246</v>
      </c>
    </row>
    <row r="25" spans="1:24" ht="15.75" customHeight="1">
      <c r="A25" t="s">
        <v>70</v>
      </c>
      <c r="B25" t="s">
        <v>271</v>
      </c>
      <c r="C25" t="s">
        <v>244</v>
      </c>
      <c r="D25" t="s">
        <v>270</v>
      </c>
      <c r="E25">
        <v>5.8</v>
      </c>
      <c r="F25">
        <v>1</v>
      </c>
      <c r="G25"/>
      <c r="H25">
        <v>165</v>
      </c>
      <c r="I25">
        <f t="shared" si="0"/>
        <v>1470.0014723991508</v>
      </c>
      <c r="J25">
        <v>112.9575796178344</v>
      </c>
      <c r="K25">
        <v>115.16035881104034</v>
      </c>
      <c r="L25">
        <v>128.56025583864118</v>
      </c>
      <c r="M25">
        <v>122.55188959660296</v>
      </c>
      <c r="N25">
        <v>129.76872505307855</v>
      </c>
      <c r="O25">
        <v>119.76452441613587</v>
      </c>
      <c r="P25">
        <v>128.3679373673036</v>
      </c>
      <c r="Q25">
        <v>127.02026751592356</v>
      </c>
      <c r="R25">
        <v>124.34212420382165</v>
      </c>
      <c r="S25">
        <v>120.78400636942675</v>
      </c>
      <c r="T25">
        <v>119.629991507431</v>
      </c>
      <c r="U25">
        <v>121.09381210191081</v>
      </c>
      <c r="V25">
        <f t="shared" si="1"/>
        <v>1.0170205288495577</v>
      </c>
      <c r="W25">
        <f aca="true" t="shared" si="3" ref="W25:W58">F25*I25</f>
        <v>1470.0014723991508</v>
      </c>
      <c r="X25" t="s">
        <v>246</v>
      </c>
    </row>
    <row r="26" spans="1:24" ht="15.75" customHeight="1">
      <c r="A26" t="s">
        <v>70</v>
      </c>
      <c r="B26" t="s">
        <v>272</v>
      </c>
      <c r="C26" t="s">
        <v>244</v>
      </c>
      <c r="D26" t="s">
        <v>270</v>
      </c>
      <c r="E26">
        <v>5.5</v>
      </c>
      <c r="F26">
        <v>1</v>
      </c>
      <c r="G26"/>
      <c r="H26">
        <v>55</v>
      </c>
      <c r="I26">
        <f t="shared" si="0"/>
        <v>463.889819047619</v>
      </c>
      <c r="J26">
        <v>41.04072380952381</v>
      </c>
      <c r="K26">
        <v>37.02309312169312</v>
      </c>
      <c r="L26">
        <v>40.950776719576716</v>
      </c>
      <c r="M26">
        <v>18.74563492063492</v>
      </c>
      <c r="N26">
        <v>41.59088677248677</v>
      </c>
      <c r="O26">
        <v>40.28922222222222</v>
      </c>
      <c r="P26">
        <v>41.11922962962963</v>
      </c>
      <c r="Q26">
        <v>41.74049523809524</v>
      </c>
      <c r="R26">
        <v>40.34444126984127</v>
      </c>
      <c r="S26">
        <v>41.42005396825397</v>
      </c>
      <c r="T26">
        <v>39.172758730158726</v>
      </c>
      <c r="U26">
        <v>40.45250264550264</v>
      </c>
      <c r="V26">
        <f t="shared" si="1"/>
        <v>0.9628265235525509</v>
      </c>
      <c r="W26">
        <f t="shared" si="3"/>
        <v>463.889819047619</v>
      </c>
      <c r="X26" t="s">
        <v>246</v>
      </c>
    </row>
    <row r="27" spans="1:24" ht="15.75" customHeight="1">
      <c r="A27" t="s">
        <v>63</v>
      </c>
      <c r="B27" t="s">
        <v>273</v>
      </c>
      <c r="C27" t="s">
        <v>274</v>
      </c>
      <c r="D27" t="s">
        <v>245</v>
      </c>
      <c r="E27">
        <v>0.44</v>
      </c>
      <c r="F27">
        <v>1</v>
      </c>
      <c r="G27"/>
      <c r="H27">
        <v>1008</v>
      </c>
      <c r="I27">
        <f t="shared" si="0"/>
        <v>873.4766050622741</v>
      </c>
      <c r="J27">
        <v>84.96009341100844</v>
      </c>
      <c r="K27">
        <v>98.79060064282845</v>
      </c>
      <c r="L27">
        <v>98.51865809562074</v>
      </c>
      <c r="M27">
        <v>78.11763559662515</v>
      </c>
      <c r="N27">
        <v>69.07386500602652</v>
      </c>
      <c r="O27">
        <v>73.28074628364804</v>
      </c>
      <c r="P27">
        <v>90.92312374447569</v>
      </c>
      <c r="Q27">
        <v>60.8798413017276</v>
      </c>
      <c r="R27">
        <v>46.65492768179992</v>
      </c>
      <c r="S27">
        <v>43.92595218963439</v>
      </c>
      <c r="T27">
        <v>14.37341402169546</v>
      </c>
      <c r="U27">
        <v>113.9777470871836</v>
      </c>
      <c r="V27">
        <f t="shared" si="1"/>
        <v>0.09892057660432002</v>
      </c>
      <c r="W27">
        <f t="shared" si="3"/>
        <v>873.4766050622741</v>
      </c>
      <c r="X27" t="s">
        <v>246</v>
      </c>
    </row>
    <row r="28" spans="1:24" ht="15.75" customHeight="1">
      <c r="A28" t="s">
        <v>63</v>
      </c>
      <c r="B28" t="s">
        <v>275</v>
      </c>
      <c r="C28" t="s">
        <v>274</v>
      </c>
      <c r="D28" t="s">
        <v>245</v>
      </c>
      <c r="E28">
        <v>1.7817815680866773</v>
      </c>
      <c r="F28">
        <v>1</v>
      </c>
      <c r="G28"/>
      <c r="H28">
        <v>109</v>
      </c>
      <c r="I28">
        <f t="shared" si="0"/>
        <v>845.2481202105101</v>
      </c>
      <c r="J28">
        <v>118.90969299240716</v>
      </c>
      <c r="K28">
        <v>96.31451833508602</v>
      </c>
      <c r="L28">
        <v>107.57532735461339</v>
      </c>
      <c r="M28">
        <v>122.38254665892377</v>
      </c>
      <c r="N28">
        <v>101.45214054058147</v>
      </c>
      <c r="O28">
        <v>60.09106654781568</v>
      </c>
      <c r="P28">
        <v>48.59761331660531</v>
      </c>
      <c r="Q28">
        <v>46.409376720265605</v>
      </c>
      <c r="R28">
        <v>33.97856684107427</v>
      </c>
      <c r="S28">
        <v>37.63165285432472</v>
      </c>
      <c r="T28">
        <v>38.26340530301135</v>
      </c>
      <c r="U28">
        <v>33.642212745801196</v>
      </c>
      <c r="V28">
        <f t="shared" si="1"/>
        <v>0.8852248755922564</v>
      </c>
      <c r="W28">
        <f t="shared" si="3"/>
        <v>845.2481202105101</v>
      </c>
      <c r="X28" t="s">
        <v>246</v>
      </c>
    </row>
    <row r="29" spans="1:24" ht="15.75" customHeight="1">
      <c r="A29" t="s">
        <v>63</v>
      </c>
      <c r="B29" t="s">
        <v>276</v>
      </c>
      <c r="C29" t="s">
        <v>274</v>
      </c>
      <c r="D29" t="s">
        <v>245</v>
      </c>
      <c r="E29">
        <v>2.089999999999981</v>
      </c>
      <c r="F29">
        <v>1</v>
      </c>
      <c r="G29"/>
      <c r="H29">
        <v>166</v>
      </c>
      <c r="I29">
        <f t="shared" si="0"/>
        <v>178.2665407006434</v>
      </c>
      <c r="J29">
        <v>16.82687570217546</v>
      </c>
      <c r="K29">
        <v>15.50800224696149</v>
      </c>
      <c r="L29">
        <v>15.885765498927583</v>
      </c>
      <c r="M29">
        <v>16.543046675518326</v>
      </c>
      <c r="N29">
        <v>16.715557144316204</v>
      </c>
      <c r="O29">
        <v>14.467832703503213</v>
      </c>
      <c r="P29">
        <v>13.694492901644363</v>
      </c>
      <c r="Q29">
        <v>13.831792462465526</v>
      </c>
      <c r="R29">
        <v>14.712235726687771</v>
      </c>
      <c r="S29">
        <v>14.184485752221425</v>
      </c>
      <c r="T29">
        <v>13.215508119701763</v>
      </c>
      <c r="U29">
        <v>12.68094576652027</v>
      </c>
      <c r="V29">
        <f t="shared" si="1"/>
        <v>0.12259073327601047</v>
      </c>
      <c r="W29">
        <f t="shared" si="3"/>
        <v>178.2665407006434</v>
      </c>
      <c r="X29" t="s">
        <v>246</v>
      </c>
    </row>
    <row r="30" spans="1:24" ht="15.75" customHeight="1">
      <c r="A30" t="s">
        <v>65</v>
      </c>
      <c r="B30" t="s">
        <v>277</v>
      </c>
      <c r="C30" t="s">
        <v>274</v>
      </c>
      <c r="D30" t="s">
        <v>251</v>
      </c>
      <c r="E30">
        <v>7.55</v>
      </c>
      <c r="F30">
        <v>0.5055</v>
      </c>
      <c r="G30">
        <v>0.4910950154176204</v>
      </c>
      <c r="H30">
        <v>800</v>
      </c>
      <c r="I30">
        <f t="shared" si="0"/>
        <v>5341.377305570579</v>
      </c>
      <c r="J30">
        <v>498.2161211465657</v>
      </c>
      <c r="K30">
        <v>485.1656138453218</v>
      </c>
      <c r="L30">
        <v>369.8580908599243</v>
      </c>
      <c r="M30">
        <v>276.5041092482423</v>
      </c>
      <c r="N30">
        <v>354.5977587885343</v>
      </c>
      <c r="O30">
        <v>520.4192698756084</v>
      </c>
      <c r="P30">
        <v>498.434640346133</v>
      </c>
      <c r="Q30">
        <v>521.0347041644131</v>
      </c>
      <c r="R30">
        <v>554.236811249324</v>
      </c>
      <c r="S30">
        <v>524.1385029745808</v>
      </c>
      <c r="T30">
        <v>408.1817317468902</v>
      </c>
      <c r="U30">
        <v>330.58995132504054</v>
      </c>
      <c r="V30">
        <f t="shared" si="1"/>
        <v>0.7621828346989981</v>
      </c>
      <c r="W30">
        <f t="shared" si="3"/>
        <v>2700.0662279659273</v>
      </c>
      <c r="X30" t="s">
        <v>252</v>
      </c>
    </row>
    <row r="31" spans="1:24" ht="15.75" customHeight="1">
      <c r="A31" t="s">
        <v>65</v>
      </c>
      <c r="B31" t="s">
        <v>278</v>
      </c>
      <c r="C31" t="s">
        <v>274</v>
      </c>
      <c r="D31" t="s">
        <v>187</v>
      </c>
      <c r="E31">
        <v>6.590000000000019</v>
      </c>
      <c r="F31">
        <v>0.287</v>
      </c>
      <c r="G31">
        <v>0.010801335366251988</v>
      </c>
      <c r="H31">
        <v>400</v>
      </c>
      <c r="I31">
        <f t="shared" si="0"/>
        <v>1338.3655278878066</v>
      </c>
      <c r="J31">
        <v>97.20372765228564</v>
      </c>
      <c r="K31">
        <v>39.98699389786962</v>
      </c>
      <c r="L31">
        <v>90.37427898511939</v>
      </c>
      <c r="M31">
        <v>67.10163044641902</v>
      </c>
      <c r="N31">
        <v>107.86201584412805</v>
      </c>
      <c r="O31">
        <v>62.75302751311424</v>
      </c>
      <c r="P31">
        <v>59.51079434750028</v>
      </c>
      <c r="Q31">
        <v>110.71085750990261</v>
      </c>
      <c r="R31">
        <v>111.37879670270851</v>
      </c>
      <c r="S31">
        <v>209.12756343003966</v>
      </c>
      <c r="T31">
        <v>208.4188373835778</v>
      </c>
      <c r="U31">
        <v>173.93700417514165</v>
      </c>
      <c r="V31">
        <f t="shared" si="1"/>
        <v>0.3819536323880727</v>
      </c>
      <c r="W31">
        <f t="shared" si="3"/>
        <v>384.11090650380044</v>
      </c>
      <c r="X31" t="s">
        <v>255</v>
      </c>
    </row>
    <row r="32" spans="1:24" ht="15.75" customHeight="1">
      <c r="A32" t="s">
        <v>65</v>
      </c>
      <c r="B32" t="s">
        <v>279</v>
      </c>
      <c r="C32" t="s">
        <v>274</v>
      </c>
      <c r="D32" t="s">
        <v>187</v>
      </c>
      <c r="E32">
        <v>6.84</v>
      </c>
      <c r="F32">
        <v>0.294098</v>
      </c>
      <c r="G32">
        <v>0.3288392942547887</v>
      </c>
      <c r="H32">
        <v>300</v>
      </c>
      <c r="I32">
        <f t="shared" si="0"/>
        <v>1689.352356376127</v>
      </c>
      <c r="J32">
        <v>163.65991627307858</v>
      </c>
      <c r="K32">
        <v>143.03839952769428</v>
      </c>
      <c r="L32">
        <v>126.14400708458565</v>
      </c>
      <c r="M32">
        <v>81.81283920137398</v>
      </c>
      <c r="N32">
        <v>131.61171103477886</v>
      </c>
      <c r="O32">
        <v>136.0593022756548</v>
      </c>
      <c r="P32">
        <v>151.1692700729927</v>
      </c>
      <c r="Q32">
        <v>146.9571693860026</v>
      </c>
      <c r="R32">
        <v>123.24108952340059</v>
      </c>
      <c r="S32">
        <v>136.70711786174323</v>
      </c>
      <c r="T32">
        <v>182.44148346930015</v>
      </c>
      <c r="U32">
        <v>166.51005066552148</v>
      </c>
      <c r="V32">
        <f t="shared" si="1"/>
        <v>0.6428281416956344</v>
      </c>
      <c r="W32">
        <f t="shared" si="3"/>
        <v>496.83514930550626</v>
      </c>
      <c r="X32" t="s">
        <v>255</v>
      </c>
    </row>
    <row r="33" spans="1:24" ht="15.75" customHeight="1">
      <c r="A33" t="s">
        <v>65</v>
      </c>
      <c r="B33" t="s">
        <v>280</v>
      </c>
      <c r="C33" t="s">
        <v>274</v>
      </c>
      <c r="D33" t="s">
        <v>187</v>
      </c>
      <c r="E33">
        <v>6.145</v>
      </c>
      <c r="F33">
        <v>0.2488</v>
      </c>
      <c r="G33">
        <v>0.2689987861744392</v>
      </c>
      <c r="H33">
        <v>400</v>
      </c>
      <c r="I33">
        <f t="shared" si="0"/>
        <v>2410.2928970220023</v>
      </c>
      <c r="J33">
        <v>113.88946353417505</v>
      </c>
      <c r="K33">
        <v>197.09689521069734</v>
      </c>
      <c r="L33">
        <v>219.16930051675456</v>
      </c>
      <c r="M33">
        <v>228.4019423578925</v>
      </c>
      <c r="N33">
        <v>239.57653934260293</v>
      </c>
      <c r="O33">
        <v>202.42635235203238</v>
      </c>
      <c r="P33">
        <v>217.60091950348942</v>
      </c>
      <c r="Q33">
        <v>114.86075328964893</v>
      </c>
      <c r="R33">
        <v>161.7177284108465</v>
      </c>
      <c r="S33">
        <v>228.42276703425497</v>
      </c>
      <c r="T33">
        <v>253.23294123914548</v>
      </c>
      <c r="U33">
        <v>233.89729423046202</v>
      </c>
      <c r="V33">
        <f t="shared" si="1"/>
        <v>0.6878689774606171</v>
      </c>
      <c r="W33">
        <f t="shared" si="3"/>
        <v>599.6808727790742</v>
      </c>
      <c r="X33" t="s">
        <v>255</v>
      </c>
    </row>
    <row r="34" spans="1:24" ht="15.75" customHeight="1">
      <c r="A34" t="s">
        <v>65</v>
      </c>
      <c r="B34" t="s">
        <v>281</v>
      </c>
      <c r="C34" t="s">
        <v>274</v>
      </c>
      <c r="D34" t="s">
        <v>187</v>
      </c>
      <c r="E34">
        <v>5.84</v>
      </c>
      <c r="F34">
        <v>0.27166</v>
      </c>
      <c r="G34">
        <v>0.2841579426418814</v>
      </c>
      <c r="H34">
        <v>200</v>
      </c>
      <c r="I34">
        <f aca="true" t="shared" si="4" ref="I34:I58">SUM(J34:U34)</f>
        <v>1319.4602017841976</v>
      </c>
      <c r="J34">
        <v>114.99065845369584</v>
      </c>
      <c r="K34">
        <v>95.1578090484282</v>
      </c>
      <c r="L34">
        <v>77.83145390824129</v>
      </c>
      <c r="M34">
        <v>105.98651338147835</v>
      </c>
      <c r="N34">
        <v>79.37994796091758</v>
      </c>
      <c r="O34">
        <v>62.67568819031436</v>
      </c>
      <c r="P34">
        <v>113.49928207306712</v>
      </c>
      <c r="Q34">
        <v>221.70185429056926</v>
      </c>
      <c r="R34">
        <v>100.69632965165675</v>
      </c>
      <c r="S34">
        <v>117.55633177570093</v>
      </c>
      <c r="T34">
        <v>122.1774044180119</v>
      </c>
      <c r="U34">
        <v>107.80692863211596</v>
      </c>
      <c r="V34">
        <f aca="true" t="shared" si="5" ref="V34:V52">SUM(J34:U34)/(H34*8760/1000)</f>
        <v>0.7531165535297931</v>
      </c>
      <c r="W34">
        <f t="shared" si="3"/>
        <v>358.44455841669514</v>
      </c>
      <c r="X34" t="s">
        <v>255</v>
      </c>
    </row>
    <row r="35" spans="1:24" ht="15.75" customHeight="1">
      <c r="A35" t="s">
        <v>69</v>
      </c>
      <c r="B35" t="s">
        <v>282</v>
      </c>
      <c r="C35" t="s">
        <v>274</v>
      </c>
      <c r="D35" t="s">
        <v>259</v>
      </c>
      <c r="E35">
        <v>2.270000000000014</v>
      </c>
      <c r="F35">
        <v>0.008965</v>
      </c>
      <c r="G35">
        <v>0.008486440616776019</v>
      </c>
      <c r="H35">
        <v>508.68</v>
      </c>
      <c r="I35">
        <f t="shared" si="4"/>
        <v>3068.5509557965825</v>
      </c>
      <c r="J35">
        <v>267.82164637265936</v>
      </c>
      <c r="K35">
        <v>264.88663153586407</v>
      </c>
      <c r="L35">
        <v>323.4513772638903</v>
      </c>
      <c r="M35">
        <v>308.11930318223676</v>
      </c>
      <c r="N35">
        <v>287.0933582318633</v>
      </c>
      <c r="O35">
        <v>282.48173948633996</v>
      </c>
      <c r="P35">
        <v>209.72175585797606</v>
      </c>
      <c r="Q35">
        <v>245.8645840581193</v>
      </c>
      <c r="R35">
        <v>257.80910262969405</v>
      </c>
      <c r="S35">
        <v>207.7158702547836</v>
      </c>
      <c r="T35">
        <v>184.61918346464753</v>
      </c>
      <c r="U35">
        <v>228.96640345850824</v>
      </c>
      <c r="V35">
        <f t="shared" si="5"/>
        <v>0.6886278308555671</v>
      </c>
      <c r="W35">
        <f>F35*I35</f>
        <v>27.509559318716363</v>
      </c>
      <c r="X35" t="s">
        <v>206</v>
      </c>
    </row>
    <row r="36" spans="1:24" ht="15.75" customHeight="1">
      <c r="A36" t="s">
        <v>69</v>
      </c>
      <c r="B36" t="s">
        <v>283</v>
      </c>
      <c r="C36" t="s">
        <v>274</v>
      </c>
      <c r="D36" t="s">
        <v>259</v>
      </c>
      <c r="E36">
        <v>2.12</v>
      </c>
      <c r="F36">
        <v>0.00865</v>
      </c>
      <c r="G36"/>
      <c r="H36">
        <f>526.26*1</f>
        <v>526.26</v>
      </c>
      <c r="I36">
        <f t="shared" si="4"/>
        <v>2585.2915273804665</v>
      </c>
      <c r="J36">
        <v>211.29514201062526</v>
      </c>
      <c r="K36">
        <v>199.43229668982428</v>
      </c>
      <c r="L36">
        <v>233.53497752349816</v>
      </c>
      <c r="M36">
        <v>243.30737024928487</v>
      </c>
      <c r="N36">
        <v>253.34250204331838</v>
      </c>
      <c r="O36">
        <v>241.2333091540662</v>
      </c>
      <c r="P36">
        <v>279.59834389047813</v>
      </c>
      <c r="Q36">
        <v>221.88955046996324</v>
      </c>
      <c r="R36">
        <v>254.5360788720883</v>
      </c>
      <c r="S36">
        <v>208.02176031875766</v>
      </c>
      <c r="T36">
        <v>96.74668267266041</v>
      </c>
      <c r="U36">
        <v>142.35351348590152</v>
      </c>
      <c r="V36">
        <f t="shared" si="5"/>
        <v>0.5607961912025331</v>
      </c>
      <c r="W36">
        <f t="shared" si="3"/>
        <v>22.362771711841035</v>
      </c>
      <c r="X36" t="s">
        <v>206</v>
      </c>
    </row>
    <row r="37" spans="1:24" ht="15.75" customHeight="1">
      <c r="A37" t="s">
        <v>69</v>
      </c>
      <c r="B37" t="s">
        <v>284</v>
      </c>
      <c r="C37" t="s">
        <v>274</v>
      </c>
      <c r="D37" t="s">
        <v>259</v>
      </c>
      <c r="E37">
        <f>E36</f>
        <v>2.12</v>
      </c>
      <c r="F37">
        <v>0.00865</v>
      </c>
      <c r="G37"/>
      <c r="H37">
        <v>175.42</v>
      </c>
      <c r="I37">
        <f t="shared" si="4"/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f t="shared" si="5"/>
        <v>0</v>
      </c>
      <c r="W37">
        <f t="shared" si="3"/>
        <v>0</v>
      </c>
      <c r="X37" t="s">
        <v>206</v>
      </c>
    </row>
    <row r="38" spans="1:24" ht="15.75" customHeight="1">
      <c r="A38" t="s">
        <v>69</v>
      </c>
      <c r="B38" t="s">
        <v>285</v>
      </c>
      <c r="C38" t="s">
        <v>274</v>
      </c>
      <c r="D38" t="s">
        <v>189</v>
      </c>
      <c r="E38">
        <f>E37</f>
        <v>2.12</v>
      </c>
      <c r="F38">
        <v>0.25093</v>
      </c>
      <c r="G38"/>
      <c r="H38">
        <v>350.84</v>
      </c>
      <c r="I38">
        <f t="shared" si="4"/>
        <v>1509.5441356763383</v>
      </c>
      <c r="J38">
        <v>40.48817429505517</v>
      </c>
      <c r="K38">
        <v>19.586151409889663</v>
      </c>
      <c r="L38">
        <v>197.57233346955456</v>
      </c>
      <c r="M38">
        <v>222.61759297098487</v>
      </c>
      <c r="N38">
        <v>191.73845525132816</v>
      </c>
      <c r="O38">
        <v>161.71968226399673</v>
      </c>
      <c r="P38">
        <v>188.03708622803433</v>
      </c>
      <c r="Q38">
        <v>92.9417909685329</v>
      </c>
      <c r="R38">
        <v>63.59654679199019</v>
      </c>
      <c r="S38">
        <v>23.659966285247243</v>
      </c>
      <c r="T38">
        <v>164.9900132815693</v>
      </c>
      <c r="U38">
        <v>142.59634246015528</v>
      </c>
      <c r="V38">
        <f t="shared" si="5"/>
        <v>0.4911708753773521</v>
      </c>
      <c r="W38">
        <f t="shared" si="3"/>
        <v>378.7899099652636</v>
      </c>
      <c r="X38" t="s">
        <v>255</v>
      </c>
    </row>
    <row r="39" spans="1:24" ht="15.75" customHeight="1">
      <c r="A39" t="s">
        <v>69</v>
      </c>
      <c r="B39" t="s">
        <v>286</v>
      </c>
      <c r="C39" t="s">
        <v>274</v>
      </c>
      <c r="D39" t="s">
        <v>259</v>
      </c>
      <c r="E39">
        <f>E38</f>
        <v>2.12</v>
      </c>
      <c r="F39">
        <v>0.00865</v>
      </c>
      <c r="G39"/>
      <c r="H39">
        <f>526.26*1</f>
        <v>526.26</v>
      </c>
      <c r="I39">
        <f t="shared" si="4"/>
        <v>2889.827538823049</v>
      </c>
      <c r="J39">
        <v>284.17593992644055</v>
      </c>
      <c r="K39">
        <v>266.2472261953412</v>
      </c>
      <c r="L39">
        <v>213.8718073150797</v>
      </c>
      <c r="M39">
        <v>171.8506845116469</v>
      </c>
      <c r="N39">
        <v>219.84958622803433</v>
      </c>
      <c r="O39">
        <v>222.22425418880263</v>
      </c>
      <c r="P39">
        <v>106.70540457703311</v>
      </c>
      <c r="Q39">
        <v>214.07994483040457</v>
      </c>
      <c r="R39">
        <v>282.7583009807928</v>
      </c>
      <c r="S39">
        <v>322.260497548018</v>
      </c>
      <c r="T39">
        <v>314.59435022476504</v>
      </c>
      <c r="U39">
        <v>271.2095422966898</v>
      </c>
      <c r="V39">
        <f t="shared" si="5"/>
        <v>0.6268555247408502</v>
      </c>
      <c r="W39">
        <f t="shared" si="3"/>
        <v>24.997008210819374</v>
      </c>
      <c r="X39" t="s">
        <v>206</v>
      </c>
    </row>
    <row r="40" spans="1:24" ht="15.75" customHeight="1">
      <c r="A40" t="s">
        <v>69</v>
      </c>
      <c r="B40" t="s">
        <v>287</v>
      </c>
      <c r="C40" t="s">
        <v>274</v>
      </c>
      <c r="D40" t="s">
        <v>189</v>
      </c>
      <c r="E40">
        <v>3.5</v>
      </c>
      <c r="F40">
        <v>0.2263</v>
      </c>
      <c r="G40">
        <v>0.23278098064371416</v>
      </c>
      <c r="H40">
        <v>640</v>
      </c>
      <c r="I40">
        <f t="shared" si="4"/>
        <v>2711.004411116345</v>
      </c>
      <c r="J40">
        <v>37.41564352331606</v>
      </c>
      <c r="K40">
        <v>134.2382725388601</v>
      </c>
      <c r="L40">
        <v>213.93040621761656</v>
      </c>
      <c r="M40">
        <v>321.7824984455958</v>
      </c>
      <c r="N40">
        <v>280.703518134715</v>
      </c>
      <c r="O40">
        <v>307.75321243523314</v>
      </c>
      <c r="P40">
        <v>315.50214611398957</v>
      </c>
      <c r="Q40">
        <v>136.95458860103628</v>
      </c>
      <c r="R40">
        <v>220.94484766839378</v>
      </c>
      <c r="S40">
        <v>284.45359792746115</v>
      </c>
      <c r="T40">
        <v>233.84808808290154</v>
      </c>
      <c r="U40">
        <v>223.47759142722612</v>
      </c>
      <c r="V40">
        <f t="shared" si="5"/>
        <v>0.4835552959325673</v>
      </c>
      <c r="W40">
        <f t="shared" si="3"/>
        <v>613.5002982356289</v>
      </c>
      <c r="X40" t="s">
        <v>255</v>
      </c>
    </row>
    <row r="41" spans="1:24" ht="15.75" customHeight="1">
      <c r="A41" t="s">
        <v>69</v>
      </c>
      <c r="B41" t="s">
        <v>288</v>
      </c>
      <c r="C41" t="s">
        <v>274</v>
      </c>
      <c r="D41" t="s">
        <v>189</v>
      </c>
      <c r="E41">
        <v>2.55</v>
      </c>
      <c r="F41">
        <v>0.35475000000000007</v>
      </c>
      <c r="G41">
        <v>0.3678986980655399</v>
      </c>
      <c r="H41">
        <v>280</v>
      </c>
      <c r="I41">
        <f t="shared" si="4"/>
        <v>393.33842296748924</v>
      </c>
      <c r="J41">
        <v>53.083211903540274</v>
      </c>
      <c r="K41">
        <v>34.07045459209851</v>
      </c>
      <c r="L41">
        <v>50.62946023601847</v>
      </c>
      <c r="M41">
        <v>51.99181426372498</v>
      </c>
      <c r="N41">
        <v>69.6235833760903</v>
      </c>
      <c r="O41">
        <v>16.895028219599794</v>
      </c>
      <c r="P41">
        <v>40.76181221139045</v>
      </c>
      <c r="Q41">
        <v>25.064368394048227</v>
      </c>
      <c r="R41">
        <v>9.174401231400719</v>
      </c>
      <c r="S41">
        <v>9.624632119035402</v>
      </c>
      <c r="T41">
        <v>25.28266290405336</v>
      </c>
      <c r="U41">
        <v>7.136993516488636</v>
      </c>
      <c r="V41">
        <f t="shared" si="5"/>
        <v>0.16036302306241407</v>
      </c>
      <c r="W41">
        <f t="shared" si="3"/>
        <v>139.53680554771682</v>
      </c>
      <c r="X41" t="s">
        <v>255</v>
      </c>
    </row>
    <row r="42" spans="1:24" ht="15.75" customHeight="1">
      <c r="A42" t="s">
        <v>67</v>
      </c>
      <c r="B42" t="s">
        <v>289</v>
      </c>
      <c r="C42" t="s">
        <v>274</v>
      </c>
      <c r="D42" t="s">
        <v>189</v>
      </c>
      <c r="E42">
        <v>2.25</v>
      </c>
      <c r="F42">
        <v>0.45785000000000003</v>
      </c>
      <c r="G42">
        <v>0.46963405640499495</v>
      </c>
      <c r="H42">
        <v>61.55</v>
      </c>
      <c r="I42">
        <f t="shared" si="4"/>
        <v>8.923780562659847</v>
      </c>
      <c r="J42">
        <v>-0.0015273657289002558</v>
      </c>
      <c r="K42">
        <v>0.6160051150895142</v>
      </c>
      <c r="L42">
        <v>1.2967058823529414</v>
      </c>
      <c r="M42">
        <v>4.167230690537084</v>
      </c>
      <c r="N42">
        <v>0</v>
      </c>
      <c r="O42">
        <v>0</v>
      </c>
      <c r="P42">
        <v>0</v>
      </c>
      <c r="Q42">
        <v>0.24593145780051154</v>
      </c>
      <c r="R42">
        <v>0.3207468030690537</v>
      </c>
      <c r="S42">
        <v>0.04275191815856778</v>
      </c>
      <c r="T42">
        <v>1.7914066496163683</v>
      </c>
      <c r="U42">
        <v>0.44452941176470584</v>
      </c>
      <c r="V42">
        <f t="shared" si="5"/>
        <v>0.01655071342424922</v>
      </c>
      <c r="W42">
        <f t="shared" si="3"/>
        <v>4.085752930613811</v>
      </c>
      <c r="X42" t="s">
        <v>206</v>
      </c>
    </row>
    <row r="43" spans="1:24" ht="15.75" customHeight="1">
      <c r="A43" t="s">
        <v>67</v>
      </c>
      <c r="B43" t="s">
        <v>290</v>
      </c>
      <c r="C43" t="s">
        <v>274</v>
      </c>
      <c r="D43" t="s">
        <v>189</v>
      </c>
      <c r="E43">
        <f>E42</f>
        <v>2.25</v>
      </c>
      <c r="F43">
        <f>F42</f>
        <v>0.45785000000000003</v>
      </c>
      <c r="G43"/>
      <c r="H43">
        <v>40.2</v>
      </c>
      <c r="I43">
        <f t="shared" si="4"/>
        <v>27.389535345268545</v>
      </c>
      <c r="J43">
        <v>5.300033759590793</v>
      </c>
      <c r="K43">
        <v>4.472787723785167</v>
      </c>
      <c r="L43">
        <v>5.17710179028133</v>
      </c>
      <c r="M43">
        <v>6.309953964194373</v>
      </c>
      <c r="N43">
        <v>0</v>
      </c>
      <c r="O43">
        <v>-0.038953452685421996</v>
      </c>
      <c r="P43">
        <v>-0.03916521739130435</v>
      </c>
      <c r="Q43">
        <v>0.2858117647058824</v>
      </c>
      <c r="R43">
        <v>0.49570639386189264</v>
      </c>
      <c r="S43">
        <v>0.10067314578005115</v>
      </c>
      <c r="T43">
        <v>3.556097186700767</v>
      </c>
      <c r="U43">
        <v>1.7694882864450128</v>
      </c>
      <c r="V43">
        <f t="shared" si="5"/>
        <v>0.07777759417884478</v>
      </c>
      <c r="W43">
        <f t="shared" si="3"/>
        <v>12.540298757831204</v>
      </c>
      <c r="X43" t="s">
        <v>255</v>
      </c>
    </row>
    <row r="44" spans="1:24" ht="15.75" customHeight="1">
      <c r="A44" t="s">
        <v>69</v>
      </c>
      <c r="B44" t="s">
        <v>291</v>
      </c>
      <c r="C44" t="s">
        <v>292</v>
      </c>
      <c r="D44" t="s">
        <v>189</v>
      </c>
      <c r="E44">
        <v>1.5228426395939039</v>
      </c>
      <c r="F44">
        <v>0.35475000000000007</v>
      </c>
      <c r="G44">
        <v>0.3689727440313991</v>
      </c>
      <c r="H44">
        <v>858</v>
      </c>
      <c r="I44">
        <f t="shared" si="4"/>
        <v>1641.8770843298971</v>
      </c>
      <c r="J44">
        <v>91.63675355670102</v>
      </c>
      <c r="K44">
        <v>93.60744407216494</v>
      </c>
      <c r="L44">
        <v>103.386006185567</v>
      </c>
      <c r="M44">
        <v>160.81284659793815</v>
      </c>
      <c r="N44">
        <v>223.60780499999998</v>
      </c>
      <c r="O44">
        <v>147.4841718556701</v>
      </c>
      <c r="P44">
        <v>142.1398868041237</v>
      </c>
      <c r="Q44">
        <v>154.28467278350513</v>
      </c>
      <c r="R44">
        <v>77.09897608247422</v>
      </c>
      <c r="S44">
        <v>139.7602080412371</v>
      </c>
      <c r="T44">
        <v>219.70368134020617</v>
      </c>
      <c r="U44">
        <v>88.35463201030927</v>
      </c>
      <c r="V44">
        <f t="shared" si="5"/>
        <v>0.2184485907986473</v>
      </c>
      <c r="W44">
        <f t="shared" si="3"/>
        <v>582.4558956660311</v>
      </c>
      <c r="X44" t="s">
        <v>255</v>
      </c>
    </row>
    <row r="45" spans="1:24" ht="15.75" customHeight="1">
      <c r="A45" t="s">
        <v>63</v>
      </c>
      <c r="B45" t="s">
        <v>293</v>
      </c>
      <c r="C45" t="s">
        <v>294</v>
      </c>
      <c r="D45" t="s">
        <v>245</v>
      </c>
      <c r="E45">
        <v>0</v>
      </c>
      <c r="F45">
        <v>1</v>
      </c>
      <c r="G45"/>
      <c r="H45">
        <v>150</v>
      </c>
      <c r="I45">
        <f t="shared" si="4"/>
        <v>703.227951</v>
      </c>
      <c r="J45">
        <v>94.711726</v>
      </c>
      <c r="K45">
        <v>62.253776</v>
      </c>
      <c r="L45">
        <v>60.686493</v>
      </c>
      <c r="M45">
        <v>51.501037</v>
      </c>
      <c r="N45">
        <v>59.110775</v>
      </c>
      <c r="O45">
        <v>64.840337</v>
      </c>
      <c r="P45">
        <v>69.937851</v>
      </c>
      <c r="Q45">
        <v>66.578546</v>
      </c>
      <c r="R45">
        <v>59.522982</v>
      </c>
      <c r="S45">
        <v>52.203821</v>
      </c>
      <c r="T45">
        <v>31.495898</v>
      </c>
      <c r="U45">
        <v>30.384708999999997</v>
      </c>
      <c r="V45">
        <f t="shared" si="5"/>
        <v>0.5351810890410958</v>
      </c>
      <c r="W45">
        <f t="shared" si="3"/>
        <v>703.227951</v>
      </c>
      <c r="X45" t="s">
        <v>246</v>
      </c>
    </row>
    <row r="46" spans="1:24" ht="15.75" customHeight="1">
      <c r="A46" t="s">
        <v>67</v>
      </c>
      <c r="B46" t="s">
        <v>295</v>
      </c>
      <c r="C46" t="s">
        <v>294</v>
      </c>
      <c r="D46" t="s">
        <v>259</v>
      </c>
      <c r="E46">
        <v>0</v>
      </c>
      <c r="F46">
        <v>0.0164</v>
      </c>
      <c r="G46">
        <v>0.009444440731014305</v>
      </c>
      <c r="H46">
        <v>150</v>
      </c>
      <c r="I46">
        <f t="shared" si="4"/>
        <v>401.345541</v>
      </c>
      <c r="J46">
        <v>52.094124</v>
      </c>
      <c r="K46">
        <v>38.021576</v>
      </c>
      <c r="L46">
        <v>48.427841</v>
      </c>
      <c r="M46">
        <v>42.1339</v>
      </c>
      <c r="N46">
        <v>47.8981</v>
      </c>
      <c r="O46">
        <v>26.8375</v>
      </c>
      <c r="P46">
        <v>28.1671</v>
      </c>
      <c r="Q46">
        <v>18.2388</v>
      </c>
      <c r="R46">
        <v>21.9044</v>
      </c>
      <c r="S46">
        <v>34.5585</v>
      </c>
      <c r="T46">
        <v>20.443099999999998</v>
      </c>
      <c r="U46">
        <v>22.6206</v>
      </c>
      <c r="V46">
        <f t="shared" si="5"/>
        <v>0.3054380068493151</v>
      </c>
      <c r="W46">
        <f t="shared" si="3"/>
        <v>6.582066872400001</v>
      </c>
      <c r="X46" t="s">
        <v>206</v>
      </c>
    </row>
    <row r="47" spans="1:24" ht="15.75" customHeight="1">
      <c r="A47" t="s">
        <v>70</v>
      </c>
      <c r="B47" t="s">
        <v>296</v>
      </c>
      <c r="C47" t="s">
        <v>294</v>
      </c>
      <c r="D47" t="s">
        <v>270</v>
      </c>
      <c r="E47">
        <v>0</v>
      </c>
      <c r="F47">
        <v>1</v>
      </c>
      <c r="G47"/>
      <c r="H47">
        <v>60</v>
      </c>
      <c r="I47">
        <f t="shared" si="4"/>
        <v>319.11681699999997</v>
      </c>
      <c r="J47">
        <v>-0.123954</v>
      </c>
      <c r="K47">
        <v>16.778038</v>
      </c>
      <c r="L47">
        <v>26.758743</v>
      </c>
      <c r="M47">
        <v>28.37955</v>
      </c>
      <c r="N47">
        <v>30.50961</v>
      </c>
      <c r="O47">
        <v>31.40739</v>
      </c>
      <c r="P47">
        <v>32.27699</v>
      </c>
      <c r="Q47">
        <v>25.47431</v>
      </c>
      <c r="R47">
        <v>31.57272</v>
      </c>
      <c r="S47">
        <v>33.23189</v>
      </c>
      <c r="T47">
        <v>31.23593</v>
      </c>
      <c r="U47">
        <v>31.615599999999997</v>
      </c>
      <c r="V47">
        <f t="shared" si="5"/>
        <v>0.6071476731354641</v>
      </c>
      <c r="W47">
        <f t="shared" si="3"/>
        <v>319.11681699999997</v>
      </c>
      <c r="X47" t="s">
        <v>246</v>
      </c>
    </row>
    <row r="48" spans="1:24" ht="15.75" customHeight="1">
      <c r="A48" t="s">
        <v>70</v>
      </c>
      <c r="B48" t="s">
        <v>271</v>
      </c>
      <c r="C48" t="s">
        <v>294</v>
      </c>
      <c r="D48" t="s">
        <v>270</v>
      </c>
      <c r="E48">
        <v>0</v>
      </c>
      <c r="F48">
        <v>1</v>
      </c>
      <c r="G48"/>
      <c r="H48">
        <v>182</v>
      </c>
      <c r="I48">
        <f t="shared" si="4"/>
        <v>1533.9740219999999</v>
      </c>
      <c r="J48">
        <v>129.343635</v>
      </c>
      <c r="K48">
        <v>123.46569</v>
      </c>
      <c r="L48">
        <v>135.979605</v>
      </c>
      <c r="M48">
        <v>131.339205</v>
      </c>
      <c r="N48">
        <v>135.91755</v>
      </c>
      <c r="O48">
        <v>109.634827</v>
      </c>
      <c r="P48">
        <v>98.05739</v>
      </c>
      <c r="Q48">
        <v>134.79736</v>
      </c>
      <c r="R48">
        <v>131.80522</v>
      </c>
      <c r="S48">
        <v>136.12092</v>
      </c>
      <c r="T48">
        <v>131.54773</v>
      </c>
      <c r="U48">
        <v>135.96489000000003</v>
      </c>
      <c r="V48">
        <f t="shared" si="5"/>
        <v>0.9621493940990516</v>
      </c>
      <c r="W48">
        <f t="shared" si="3"/>
        <v>1533.9740219999999</v>
      </c>
      <c r="X48" t="s">
        <v>246</v>
      </c>
    </row>
    <row r="49" spans="1:24" ht="15.75" customHeight="1">
      <c r="A49" t="s">
        <v>70</v>
      </c>
      <c r="B49" t="s">
        <v>297</v>
      </c>
      <c r="C49" t="s">
        <v>294</v>
      </c>
      <c r="D49" t="s">
        <v>270</v>
      </c>
      <c r="E49">
        <v>0</v>
      </c>
      <c r="F49">
        <v>1</v>
      </c>
      <c r="G49"/>
      <c r="H49">
        <v>110</v>
      </c>
      <c r="I49">
        <f t="shared" si="4"/>
        <v>922.2989249999998</v>
      </c>
      <c r="J49">
        <v>81.736308</v>
      </c>
      <c r="K49">
        <v>73.522512</v>
      </c>
      <c r="L49">
        <v>81.543348</v>
      </c>
      <c r="M49">
        <v>78.867438</v>
      </c>
      <c r="N49">
        <v>81.63576</v>
      </c>
      <c r="O49">
        <v>79.057088</v>
      </c>
      <c r="P49">
        <v>79.749144</v>
      </c>
      <c r="Q49">
        <v>48.40668</v>
      </c>
      <c r="R49">
        <v>79.437456</v>
      </c>
      <c r="S49">
        <v>80.977644</v>
      </c>
      <c r="T49">
        <v>78.34305599999999</v>
      </c>
      <c r="U49">
        <v>79.02249099999999</v>
      </c>
      <c r="V49">
        <f t="shared" si="5"/>
        <v>0.9571387764632625</v>
      </c>
      <c r="W49">
        <f t="shared" si="3"/>
        <v>922.2989249999998</v>
      </c>
      <c r="X49" t="s">
        <v>246</v>
      </c>
    </row>
    <row r="50" spans="1:24" ht="15.75" customHeight="1">
      <c r="A50" t="s">
        <v>70</v>
      </c>
      <c r="B50" t="s">
        <v>298</v>
      </c>
      <c r="C50" t="s">
        <v>294</v>
      </c>
      <c r="D50" t="s">
        <v>270</v>
      </c>
      <c r="E50">
        <v>0</v>
      </c>
      <c r="F50">
        <v>1</v>
      </c>
      <c r="G50"/>
      <c r="H50">
        <f>89.2994472482576+110</f>
        <v>199.2994472482576</v>
      </c>
      <c r="I50">
        <f t="shared" si="4"/>
        <v>735.255355</v>
      </c>
      <c r="J50">
        <v>62.11125</v>
      </c>
      <c r="K50">
        <v>61.086645</v>
      </c>
      <c r="L50">
        <v>67.225725</v>
      </c>
      <c r="M50">
        <v>65.440585</v>
      </c>
      <c r="N50">
        <v>30.620055</v>
      </c>
      <c r="O50">
        <v>50.05821</v>
      </c>
      <c r="P50">
        <v>66.598005</v>
      </c>
      <c r="Q50">
        <v>67.201635</v>
      </c>
      <c r="R50">
        <v>65.250465</v>
      </c>
      <c r="S50">
        <v>66.451305</v>
      </c>
      <c r="T50">
        <v>65.51049</v>
      </c>
      <c r="U50">
        <v>67.700985</v>
      </c>
      <c r="V50">
        <f t="shared" si="5"/>
        <v>0.42114145755078175</v>
      </c>
      <c r="W50">
        <f t="shared" si="3"/>
        <v>735.255355</v>
      </c>
      <c r="X50" t="s">
        <v>246</v>
      </c>
    </row>
    <row r="51" spans="1:24" ht="15.75" customHeight="1">
      <c r="A51" t="s">
        <v>65</v>
      </c>
      <c r="B51" t="s">
        <v>299</v>
      </c>
      <c r="C51" t="s">
        <v>294</v>
      </c>
      <c r="D51" t="s">
        <v>251</v>
      </c>
      <c r="E51">
        <v>3.64612</v>
      </c>
      <c r="F51">
        <f aca="true" t="shared" si="6" ref="F51:F56">G51</f>
        <v>0.4830815295964848</v>
      </c>
      <c r="G51">
        <v>0.4830815295964848</v>
      </c>
      <c r="H51">
        <f>615*2</f>
        <v>1230</v>
      </c>
      <c r="I51">
        <f t="shared" si="4"/>
        <v>9451.481506504979</v>
      </c>
      <c r="J51">
        <v>855.5885865727462</v>
      </c>
      <c r="K51">
        <v>812.5790056404579</v>
      </c>
      <c r="L51">
        <v>884.7776757926096</v>
      </c>
      <c r="M51">
        <v>907.8996922594088</v>
      </c>
      <c r="N51">
        <v>498.13064092489066</v>
      </c>
      <c r="O51">
        <v>813.5095130574919</v>
      </c>
      <c r="P51">
        <v>918.2632396329033</v>
      </c>
      <c r="Q51">
        <v>894.6764364860036</v>
      </c>
      <c r="R51">
        <v>899.1358106181091</v>
      </c>
      <c r="S51">
        <v>756.3967948151129</v>
      </c>
      <c r="T51">
        <v>481.64948624798507</v>
      </c>
      <c r="U51">
        <v>728.8746244572611</v>
      </c>
      <c r="V51">
        <f t="shared" si="5"/>
        <v>0.8771839390526951</v>
      </c>
      <c r="W51">
        <f t="shared" si="3"/>
        <v>4565.8361431153135</v>
      </c>
      <c r="X51" t="s">
        <v>252</v>
      </c>
    </row>
    <row r="52" spans="1:24" ht="15.75" customHeight="1">
      <c r="A52" t="s">
        <v>65</v>
      </c>
      <c r="B52" t="s">
        <v>164</v>
      </c>
      <c r="C52" t="s">
        <v>294</v>
      </c>
      <c r="D52" t="s">
        <v>251</v>
      </c>
      <c r="E52">
        <f>E51</f>
        <v>3.64612</v>
      </c>
      <c r="F52">
        <f t="shared" si="6"/>
        <v>0.47851900230246536</v>
      </c>
      <c r="G52">
        <v>0.47851900230246536</v>
      </c>
      <c r="H52">
        <f>610*2</f>
        <v>1220</v>
      </c>
      <c r="I52">
        <f t="shared" si="4"/>
        <v>9446.178503657558</v>
      </c>
      <c r="J52">
        <v>833.3188035603756</v>
      </c>
      <c r="K52">
        <v>777.9313090453649</v>
      </c>
      <c r="L52">
        <v>840.2868675345508</v>
      </c>
      <c r="M52">
        <v>667.8340301397309</v>
      </c>
      <c r="N52">
        <v>847.8859387914633</v>
      </c>
      <c r="O52">
        <v>804.0402732095481</v>
      </c>
      <c r="P52">
        <v>824.5708423988739</v>
      </c>
      <c r="Q52">
        <v>845.7043971659471</v>
      </c>
      <c r="R52">
        <v>675.8731459490785</v>
      </c>
      <c r="S52">
        <v>702.934848082921</v>
      </c>
      <c r="T52">
        <v>878.5061898908483</v>
      </c>
      <c r="U52">
        <v>747.2918578888572</v>
      </c>
      <c r="V52">
        <f t="shared" si="5"/>
        <v>0.8838777700106256</v>
      </c>
      <c r="W52">
        <f t="shared" si="3"/>
        <v>4520.17591314121</v>
      </c>
      <c r="X52" t="s">
        <v>252</v>
      </c>
    </row>
    <row r="53" spans="1:24" ht="15.75" customHeight="1">
      <c r="A53" t="s">
        <v>65</v>
      </c>
      <c r="B53" t="s">
        <v>300</v>
      </c>
      <c r="C53" t="s">
        <v>294</v>
      </c>
      <c r="D53" t="s">
        <v>251</v>
      </c>
      <c r="E53">
        <f>E52</f>
        <v>3.64612</v>
      </c>
      <c r="F53">
        <f t="shared" si="6"/>
        <v>0.4702296192901964</v>
      </c>
      <c r="G53">
        <v>0.4702296192901964</v>
      </c>
      <c r="H53">
        <f>660*2</f>
        <v>1320</v>
      </c>
      <c r="I53">
        <f t="shared" si="4"/>
        <v>4013.0742778599056</v>
      </c>
      <c r="J53">
        <v>0</v>
      </c>
      <c r="K53">
        <v>0</v>
      </c>
      <c r="L53">
        <v>0</v>
      </c>
      <c r="M53">
        <v>15.418427363796871</v>
      </c>
      <c r="N53">
        <v>64.3439932050479</v>
      </c>
      <c r="O53">
        <v>272.11755873245585</v>
      </c>
      <c r="P53">
        <v>378.46305307061846</v>
      </c>
      <c r="Q53">
        <v>488.3115179170782</v>
      </c>
      <c r="R53">
        <v>623.2359298867881</v>
      </c>
      <c r="S53">
        <v>676.1453851157836</v>
      </c>
      <c r="T53">
        <v>752.9848377667822</v>
      </c>
      <c r="U53">
        <v>742.0535748015544</v>
      </c>
      <c r="V53">
        <f>SUM(J53:U53)/(H53*8760/1000)</f>
        <v>0.3470556833627288</v>
      </c>
      <c r="W53">
        <f t="shared" si="3"/>
        <v>1887.0663898613434</v>
      </c>
      <c r="X53" t="s">
        <v>252</v>
      </c>
    </row>
    <row r="54" spans="1:24" ht="15.75" customHeight="1">
      <c r="A54" t="s">
        <v>65</v>
      </c>
      <c r="B54" t="s">
        <v>301</v>
      </c>
      <c r="C54" t="s">
        <v>294</v>
      </c>
      <c r="D54" t="s">
        <v>251</v>
      </c>
      <c r="E54">
        <v>0</v>
      </c>
      <c r="F54">
        <f t="shared" si="6"/>
        <v>0.4702296192901964</v>
      </c>
      <c r="G54">
        <f>G53</f>
        <v>0.4702296192901964</v>
      </c>
      <c r="H54"/>
      <c r="I54">
        <f>SUM(J54:U54)</f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f t="shared" si="3"/>
        <v>0</v>
      </c>
      <c r="X54" t="s">
        <v>252</v>
      </c>
    </row>
    <row r="55" spans="1:24" ht="15.75" customHeight="1">
      <c r="A55" t="s">
        <v>65</v>
      </c>
      <c r="B55" t="s">
        <v>302</v>
      </c>
      <c r="C55" t="s">
        <v>294</v>
      </c>
      <c r="D55" t="s">
        <v>251</v>
      </c>
      <c r="E55">
        <f>E52</f>
        <v>3.64612</v>
      </c>
      <c r="F55">
        <f t="shared" si="6"/>
        <v>0.5075184803707311</v>
      </c>
      <c r="G55">
        <v>0.5075184803707311</v>
      </c>
      <c r="H55">
        <f>300*2</f>
        <v>600</v>
      </c>
      <c r="I55">
        <f>SUM(J55:U55)</f>
        <v>1901.6590478764322</v>
      </c>
      <c r="J55">
        <v>0.08633072171042828</v>
      </c>
      <c r="K55">
        <v>49.30500774852035</v>
      </c>
      <c r="L55">
        <v>45.8392002480855</v>
      </c>
      <c r="M55">
        <v>173.93928921180964</v>
      </c>
      <c r="N55">
        <v>38.112955077678244</v>
      </c>
      <c r="O55">
        <v>175.16157315097223</v>
      </c>
      <c r="P55">
        <v>234.70517326339117</v>
      </c>
      <c r="Q55">
        <v>241.27977202371096</v>
      </c>
      <c r="R55">
        <v>212.79482777444977</v>
      </c>
      <c r="S55">
        <v>193.01662994785474</v>
      </c>
      <c r="T55">
        <v>305.9125102175439</v>
      </c>
      <c r="U55">
        <v>231.5057784907053</v>
      </c>
      <c r="V55">
        <f>SUM(J55:U55)/(H55*8760/1000)</f>
        <v>0.3618072769932329</v>
      </c>
      <c r="W55">
        <f t="shared" si="3"/>
        <v>965.1271101614982</v>
      </c>
      <c r="X55" t="s">
        <v>252</v>
      </c>
    </row>
    <row r="56" spans="1:24" ht="15.75" customHeight="1">
      <c r="A56" t="s">
        <v>65</v>
      </c>
      <c r="B56" t="s">
        <v>303</v>
      </c>
      <c r="C56" t="s">
        <v>294</v>
      </c>
      <c r="D56" t="s">
        <v>251</v>
      </c>
      <c r="E56">
        <v>0</v>
      </c>
      <c r="F56">
        <f t="shared" si="6"/>
        <v>0.5075184803707311</v>
      </c>
      <c r="G56">
        <f>G55</f>
        <v>0.5075184803707311</v>
      </c>
      <c r="H56"/>
      <c r="I56">
        <f>SUM(J56:U56)</f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f t="shared" si="3"/>
        <v>0</v>
      </c>
      <c r="X56" t="s">
        <v>252</v>
      </c>
    </row>
    <row r="57" spans="1:24" ht="15.75" customHeight="1">
      <c r="A57" t="s">
        <v>65</v>
      </c>
      <c r="B57" t="s">
        <v>304</v>
      </c>
      <c r="C57"/>
      <c r="D57" t="s">
        <v>259</v>
      </c>
      <c r="E57">
        <v>4.639335659814321</v>
      </c>
      <c r="F57">
        <v>0.0149</v>
      </c>
      <c r="G57"/>
      <c r="H57">
        <f>240*2</f>
        <v>480</v>
      </c>
      <c r="I57">
        <f t="shared" si="4"/>
        <v>1.618700971391528</v>
      </c>
      <c r="J57">
        <v>0.006346432296665159</v>
      </c>
      <c r="K57">
        <v>0.021991247801283056</v>
      </c>
      <c r="L57">
        <v>0.08629239379713802</v>
      </c>
      <c r="M57">
        <v>0.9235631967266611</v>
      </c>
      <c r="N57">
        <v>0.1513842222040448</v>
      </c>
      <c r="O57">
        <v>0.023700547973716006</v>
      </c>
      <c r="P57">
        <v>0.09500563007489592</v>
      </c>
      <c r="Q57">
        <v>0.03574324931127428</v>
      </c>
      <c r="R57">
        <v>0.03762977140342574</v>
      </c>
      <c r="S57">
        <v>0.23704427980242387</v>
      </c>
      <c r="T57">
        <v>0</v>
      </c>
      <c r="U57">
        <v>0</v>
      </c>
      <c r="V57">
        <f>SUM(J57:U57)/(H57*8760/1000)</f>
        <v>0.00038496503315057264</v>
      </c>
      <c r="W57">
        <f>F57*I57</f>
        <v>0.024118644473733766</v>
      </c>
      <c r="X57" t="s">
        <v>206</v>
      </c>
    </row>
    <row r="58" spans="1:24" ht="15.75" customHeight="1">
      <c r="A58" t="s">
        <v>65</v>
      </c>
      <c r="B58" t="s">
        <v>305</v>
      </c>
      <c r="C58" t="s">
        <v>294</v>
      </c>
      <c r="D58" t="s">
        <v>259</v>
      </c>
      <c r="E58">
        <v>4.639335659814321</v>
      </c>
      <c r="F58">
        <v>0.00865</v>
      </c>
      <c r="G58"/>
      <c r="H58">
        <v>740</v>
      </c>
      <c r="I58">
        <f t="shared" si="4"/>
        <v>772.0568067495559</v>
      </c>
      <c r="J58">
        <v>0</v>
      </c>
      <c r="K58">
        <v>0</v>
      </c>
      <c r="L58">
        <v>0</v>
      </c>
      <c r="M58">
        <v>0</v>
      </c>
      <c r="N58">
        <v>28.069435322421622</v>
      </c>
      <c r="O58">
        <v>96.5330942657952</v>
      </c>
      <c r="P58">
        <v>104.34690308472136</v>
      </c>
      <c r="Q58">
        <v>137.5118356266945</v>
      </c>
      <c r="R58">
        <v>131.69906152496867</v>
      </c>
      <c r="S58">
        <v>134.39608552096885</v>
      </c>
      <c r="T58">
        <v>78.63703605554599</v>
      </c>
      <c r="U58">
        <v>60.86335534843966</v>
      </c>
      <c r="V58">
        <f>SUM(J58:U58)/(H58*8760/1000)</f>
        <v>0.11910045766221707</v>
      </c>
      <c r="W58">
        <f t="shared" si="3"/>
        <v>6.678291378383658</v>
      </c>
      <c r="X58" t="s">
        <v>206</v>
      </c>
    </row>
    <row r="59" spans="8:22" ht="15.75" customHeight="1">
      <c r="H59" s="28"/>
      <c r="V59" s="27"/>
    </row>
    <row r="60" spans="8:24" ht="15.75" customHeight="1">
      <c r="H60" s="28"/>
      <c r="V60" s="27"/>
      <c r="X60" s="27"/>
    </row>
    <row r="61" spans="8:22" ht="15.75" customHeight="1">
      <c r="H61" s="28"/>
      <c r="T61" s="29"/>
      <c r="V61" s="27"/>
    </row>
    <row r="62" spans="8:22" ht="15.75" customHeight="1">
      <c r="H62" s="28"/>
      <c r="V62" s="27"/>
    </row>
    <row r="63" spans="8:22" ht="15.75" customHeight="1">
      <c r="H63" s="28"/>
      <c r="V63" s="27"/>
    </row>
    <row r="64" spans="8:22" ht="15.75" customHeight="1">
      <c r="H64" s="28"/>
      <c r="V64" s="27"/>
    </row>
    <row r="65" spans="8:22" ht="15.75" customHeight="1">
      <c r="H65" s="28"/>
      <c r="V65" s="27"/>
    </row>
    <row r="66" spans="8:22" ht="15.75" customHeight="1">
      <c r="H66" s="28"/>
      <c r="V66" s="27"/>
    </row>
    <row r="67" spans="8:22" ht="15.75" customHeight="1">
      <c r="H67" s="28"/>
      <c r="V67" s="27"/>
    </row>
    <row r="68" spans="8:22" ht="15.75" customHeight="1">
      <c r="H68" s="28"/>
      <c r="V68" s="27"/>
    </row>
    <row r="69" spans="8:22" ht="15.75" customHeight="1">
      <c r="H69" s="28"/>
      <c r="V69" s="27"/>
    </row>
    <row r="70" spans="8:22" ht="15.75" customHeight="1">
      <c r="H70" s="28"/>
      <c r="V70" s="27"/>
    </row>
    <row r="71" spans="8:22" ht="15.75" customHeight="1">
      <c r="H71" s="28"/>
      <c r="V71" s="27"/>
    </row>
    <row r="72" spans="8:22" ht="15.75" customHeight="1">
      <c r="H72" s="28"/>
      <c r="V72" s="27"/>
    </row>
    <row r="73" spans="8:22" ht="15.75" customHeight="1">
      <c r="H73" s="28"/>
      <c r="V73" s="27"/>
    </row>
    <row r="74" spans="8:22" ht="15.75" customHeight="1">
      <c r="H74" s="28"/>
      <c r="V74" s="27"/>
    </row>
    <row r="75" spans="8:22" ht="15.75" customHeight="1">
      <c r="H75" s="28"/>
      <c r="V75" s="27"/>
    </row>
    <row r="76" spans="8:22" ht="15.75" customHeight="1">
      <c r="H76" s="28"/>
      <c r="V76" s="27"/>
    </row>
    <row r="77" spans="8:22" ht="15.75" customHeight="1">
      <c r="H77" s="28"/>
      <c r="V77" s="27"/>
    </row>
    <row r="78" spans="8:22" ht="15.75" customHeight="1">
      <c r="H78" s="28"/>
      <c r="V78" s="27"/>
    </row>
    <row r="79" spans="8:22" ht="15.75" customHeight="1">
      <c r="H79" s="28"/>
      <c r="V79" s="27"/>
    </row>
    <row r="80" spans="8:22" ht="15.75" customHeight="1">
      <c r="H80" s="28"/>
      <c r="V80" s="27"/>
    </row>
    <row r="81" spans="8:22" ht="15.75" customHeight="1">
      <c r="H81" s="28"/>
      <c r="V81" s="27"/>
    </row>
    <row r="82" spans="8:22" ht="15.75" customHeight="1">
      <c r="H82" s="28"/>
      <c r="V82" s="27"/>
    </row>
    <row r="83" spans="8:22" ht="15.75" customHeight="1">
      <c r="H83" s="28"/>
      <c r="V83" s="27"/>
    </row>
    <row r="84" spans="8:22" ht="15.75" customHeight="1">
      <c r="H84" s="28"/>
      <c r="V84" s="27"/>
    </row>
    <row r="85" spans="8:22" ht="15.75" customHeight="1">
      <c r="H85" s="28"/>
      <c r="V85" s="27"/>
    </row>
    <row r="86" spans="8:22" ht="15.75" customHeight="1">
      <c r="H86" s="28"/>
      <c r="V86" s="27"/>
    </row>
    <row r="87" spans="8:22" ht="15.75" customHeight="1">
      <c r="H87" s="28"/>
      <c r="V87" s="27"/>
    </row>
    <row r="88" spans="8:22" ht="15.75" customHeight="1">
      <c r="H88" s="28"/>
      <c r="V88" s="27"/>
    </row>
    <row r="89" spans="8:22" ht="15.75" customHeight="1">
      <c r="H89" s="28"/>
      <c r="V89" s="27"/>
    </row>
    <row r="90" spans="8:22" ht="15.75" customHeight="1">
      <c r="H90" s="28"/>
      <c r="V90" s="27"/>
    </row>
    <row r="91" spans="8:22" ht="15.75" customHeight="1">
      <c r="H91" s="28"/>
      <c r="V91" s="27"/>
    </row>
    <row r="92" spans="8:22" ht="15.75" customHeight="1">
      <c r="H92" s="28"/>
      <c r="V92" s="27"/>
    </row>
    <row r="93" spans="8:22" ht="15.75" customHeight="1">
      <c r="H93" s="28"/>
      <c r="V93" s="27"/>
    </row>
    <row r="94" spans="8:22" ht="15.75" customHeight="1">
      <c r="H94" s="28"/>
      <c r="V94" s="27"/>
    </row>
    <row r="95" spans="8:22" ht="15.75" customHeight="1">
      <c r="H95" s="28"/>
      <c r="V95" s="27"/>
    </row>
    <row r="96" spans="8:22" ht="15.75" customHeight="1">
      <c r="H96" s="28"/>
      <c r="V96" s="27"/>
    </row>
    <row r="97" spans="8:22" ht="15.75" customHeight="1">
      <c r="H97" s="28"/>
      <c r="V97" s="27"/>
    </row>
    <row r="98" spans="8:22" ht="15.75" customHeight="1">
      <c r="H98" s="28"/>
      <c r="V98" s="27"/>
    </row>
    <row r="99" spans="8:22" ht="15.75" customHeight="1">
      <c r="H99" s="28"/>
      <c r="V99" s="27"/>
    </row>
    <row r="100" spans="8:22" ht="15.75" customHeight="1">
      <c r="H100" s="28"/>
      <c r="V100" s="27"/>
    </row>
    <row r="101" spans="8:22" ht="15.75" customHeight="1">
      <c r="H101" s="28"/>
      <c r="V101" s="27"/>
    </row>
    <row r="102" spans="8:22" ht="15.75" customHeight="1">
      <c r="H102" s="28"/>
      <c r="V102" s="27"/>
    </row>
    <row r="103" spans="8:22" ht="15.75" customHeight="1">
      <c r="H103" s="28"/>
      <c r="V103" s="27"/>
    </row>
    <row r="104" spans="8:22" ht="15.75" customHeight="1">
      <c r="H104" s="28"/>
      <c r="V104" s="27"/>
    </row>
    <row r="105" spans="8:22" ht="15.75" customHeight="1">
      <c r="H105" s="28"/>
      <c r="V105" s="27"/>
    </row>
    <row r="106" spans="8:22" ht="15.75" customHeight="1">
      <c r="H106" s="28"/>
      <c r="V106" s="27"/>
    </row>
    <row r="107" spans="8:22" ht="15.75" customHeight="1">
      <c r="H107" s="28"/>
      <c r="V107" s="27"/>
    </row>
    <row r="108" spans="8:22" ht="15.75" customHeight="1">
      <c r="H108" s="28"/>
      <c r="V108" s="27"/>
    </row>
    <row r="109" spans="8:22" ht="15.75" customHeight="1">
      <c r="H109" s="28"/>
      <c r="V109" s="27"/>
    </row>
    <row r="110" spans="8:22" ht="15.75" customHeight="1">
      <c r="H110" s="28"/>
      <c r="V110" s="27"/>
    </row>
    <row r="111" spans="8:22" ht="15.75" customHeight="1">
      <c r="H111" s="28"/>
      <c r="V111" s="27"/>
    </row>
    <row r="112" spans="8:22" ht="15.75" customHeight="1">
      <c r="H112" s="28"/>
      <c r="V112" s="27"/>
    </row>
    <row r="113" spans="8:22" ht="15.75" customHeight="1">
      <c r="H113" s="28"/>
      <c r="V113" s="27"/>
    </row>
    <row r="114" spans="8:22" ht="15.75" customHeight="1">
      <c r="H114" s="28"/>
      <c r="V114" s="27"/>
    </row>
    <row r="115" spans="8:22" ht="15.75" customHeight="1">
      <c r="H115" s="28"/>
      <c r="V115" s="27"/>
    </row>
    <row r="116" spans="8:22" ht="15.75" customHeight="1">
      <c r="H116" s="28"/>
      <c r="V116" s="27"/>
    </row>
    <row r="117" spans="8:22" ht="15.75" customHeight="1">
      <c r="H117" s="28"/>
      <c r="V117" s="27"/>
    </row>
    <row r="118" spans="8:22" ht="15.75" customHeight="1">
      <c r="H118" s="28"/>
      <c r="V118" s="27"/>
    </row>
    <row r="119" spans="8:22" ht="15.75" customHeight="1">
      <c r="H119" s="28"/>
      <c r="V119" s="27"/>
    </row>
    <row r="120" spans="8:22" ht="15.75" customHeight="1">
      <c r="H120" s="28"/>
      <c r="V120" s="27"/>
    </row>
    <row r="121" spans="8:22" ht="15.75" customHeight="1">
      <c r="H121" s="28"/>
      <c r="V121" s="27"/>
    </row>
    <row r="122" spans="8:22" ht="15.75" customHeight="1">
      <c r="H122" s="28"/>
      <c r="V122" s="27"/>
    </row>
    <row r="123" spans="8:22" ht="15.75" customHeight="1">
      <c r="H123" s="28"/>
      <c r="V123" s="27"/>
    </row>
    <row r="124" spans="8:22" ht="15.75" customHeight="1">
      <c r="H124" s="28"/>
      <c r="V124" s="27"/>
    </row>
    <row r="125" spans="8:22" ht="15.75" customHeight="1">
      <c r="H125" s="28"/>
      <c r="V125" s="27"/>
    </row>
    <row r="126" spans="8:22" ht="15.75" customHeight="1">
      <c r="H126" s="28"/>
      <c r="V126" s="27"/>
    </row>
    <row r="127" spans="8:22" ht="15.75" customHeight="1">
      <c r="H127" s="28"/>
      <c r="V127" s="27"/>
    </row>
    <row r="128" spans="8:22" ht="15.75" customHeight="1">
      <c r="H128" s="28"/>
      <c r="V128" s="27"/>
    </row>
    <row r="129" spans="8:22" ht="15.75" customHeight="1">
      <c r="H129" s="28"/>
      <c r="V129" s="27"/>
    </row>
    <row r="130" spans="8:22" ht="15.75" customHeight="1">
      <c r="H130" s="28"/>
      <c r="V130" s="27"/>
    </row>
    <row r="131" spans="8:22" ht="15.75" customHeight="1">
      <c r="H131" s="28"/>
      <c r="V131" s="27"/>
    </row>
    <row r="132" spans="8:22" ht="15.75" customHeight="1">
      <c r="H132" s="28"/>
      <c r="V132" s="27"/>
    </row>
    <row r="133" spans="8:22" ht="15.75" customHeight="1">
      <c r="H133" s="28"/>
      <c r="V133" s="27"/>
    </row>
    <row r="134" spans="8:22" ht="15.75" customHeight="1">
      <c r="H134" s="28"/>
      <c r="V134" s="27"/>
    </row>
    <row r="135" spans="8:22" ht="15.75" customHeight="1">
      <c r="H135" s="28"/>
      <c r="V135" s="27"/>
    </row>
    <row r="136" spans="8:22" ht="15.75" customHeight="1">
      <c r="H136" s="28"/>
      <c r="V136" s="27"/>
    </row>
    <row r="137" spans="8:22" ht="15.75" customHeight="1">
      <c r="H137" s="28"/>
      <c r="V137" s="27"/>
    </row>
    <row r="138" spans="8:22" ht="15.75" customHeight="1">
      <c r="H138" s="28"/>
      <c r="V138" s="27"/>
    </row>
    <row r="139" spans="8:22" ht="15.75" customHeight="1">
      <c r="H139" s="28"/>
      <c r="V139" s="27"/>
    </row>
    <row r="140" spans="8:22" ht="15.75" customHeight="1">
      <c r="H140" s="28"/>
      <c r="V140" s="27"/>
    </row>
    <row r="141" spans="8:22" ht="15.75" customHeight="1">
      <c r="H141" s="28"/>
      <c r="V141" s="27"/>
    </row>
    <row r="142" spans="8:22" ht="15.75" customHeight="1">
      <c r="H142" s="28"/>
      <c r="V142" s="27"/>
    </row>
    <row r="143" spans="8:22" ht="15.75" customHeight="1">
      <c r="H143" s="28"/>
      <c r="V143" s="27"/>
    </row>
    <row r="144" spans="8:22" ht="15.75" customHeight="1">
      <c r="H144" s="28"/>
      <c r="V144" s="27"/>
    </row>
    <row r="145" spans="8:22" ht="15.75" customHeight="1">
      <c r="H145" s="28"/>
      <c r="V145" s="27"/>
    </row>
    <row r="146" spans="8:22" ht="15.75" customHeight="1">
      <c r="H146" s="28"/>
      <c r="V146" s="27"/>
    </row>
    <row r="147" spans="8:22" ht="15.75" customHeight="1">
      <c r="H147" s="28"/>
      <c r="V147" s="27"/>
    </row>
    <row r="148" spans="8:22" ht="15.75" customHeight="1">
      <c r="H148" s="28"/>
      <c r="V148" s="27"/>
    </row>
    <row r="149" spans="8:22" ht="15.75" customHeight="1">
      <c r="H149" s="28"/>
      <c r="V149" s="27"/>
    </row>
    <row r="150" spans="8:22" ht="15.75" customHeight="1">
      <c r="H150" s="28"/>
      <c r="V150" s="27"/>
    </row>
    <row r="151" spans="8:22" ht="15.75" customHeight="1">
      <c r="H151" s="28"/>
      <c r="V151" s="27"/>
    </row>
    <row r="152" spans="8:22" ht="15.75" customHeight="1">
      <c r="H152" s="28"/>
      <c r="V152" s="27"/>
    </row>
    <row r="153" spans="8:22" ht="15.75" customHeight="1">
      <c r="H153" s="28"/>
      <c r="V153" s="27"/>
    </row>
    <row r="154" spans="8:22" ht="15.75" customHeight="1">
      <c r="H154" s="28"/>
      <c r="V154" s="27"/>
    </row>
    <row r="155" spans="8:22" ht="15.75" customHeight="1">
      <c r="H155" s="28"/>
      <c r="V155" s="27"/>
    </row>
    <row r="156" spans="8:22" ht="15.75" customHeight="1">
      <c r="H156" s="28"/>
      <c r="V156" s="27"/>
    </row>
    <row r="157" spans="8:22" ht="15.75" customHeight="1">
      <c r="H157" s="28"/>
      <c r="V157" s="27"/>
    </row>
    <row r="158" spans="8:22" ht="15.75" customHeight="1">
      <c r="H158" s="28"/>
      <c r="V158" s="27"/>
    </row>
    <row r="159" spans="8:22" ht="15.75" customHeight="1">
      <c r="H159" s="28"/>
      <c r="V159" s="27"/>
    </row>
    <row r="160" spans="8:22" ht="15.75" customHeight="1">
      <c r="H160" s="28"/>
      <c r="V160" s="27"/>
    </row>
    <row r="161" spans="8:22" ht="15.75" customHeight="1">
      <c r="H161" s="28"/>
      <c r="V161" s="27"/>
    </row>
    <row r="162" spans="8:22" ht="15.75" customHeight="1">
      <c r="H162" s="28"/>
      <c r="V162" s="27"/>
    </row>
    <row r="163" spans="8:22" ht="15.75" customHeight="1">
      <c r="H163" s="28"/>
      <c r="V163" s="27"/>
    </row>
    <row r="164" spans="8:22" ht="15.75" customHeight="1">
      <c r="H164" s="28"/>
      <c r="V164" s="27"/>
    </row>
    <row r="165" spans="8:22" ht="15.75" customHeight="1">
      <c r="H165" s="28"/>
      <c r="V165" s="27"/>
    </row>
    <row r="166" spans="8:22" ht="15.75" customHeight="1">
      <c r="H166" s="28"/>
      <c r="V166" s="27"/>
    </row>
    <row r="167" spans="8:22" ht="15.75" customHeight="1">
      <c r="H167" s="28"/>
      <c r="V167" s="27"/>
    </row>
    <row r="168" spans="8:22" ht="15.75" customHeight="1">
      <c r="H168" s="28"/>
      <c r="V168" s="27"/>
    </row>
    <row r="169" spans="8:22" ht="15.75" customHeight="1">
      <c r="H169" s="28"/>
      <c r="V169" s="27"/>
    </row>
    <row r="170" spans="8:22" ht="15.75" customHeight="1">
      <c r="H170" s="28"/>
      <c r="V170" s="27"/>
    </row>
    <row r="171" spans="8:22" ht="15.75" customHeight="1">
      <c r="H171" s="28"/>
      <c r="V171" s="27"/>
    </row>
    <row r="172" spans="8:22" ht="15.75" customHeight="1">
      <c r="H172" s="28"/>
      <c r="V172" s="27"/>
    </row>
    <row r="173" spans="8:22" ht="15.75" customHeight="1">
      <c r="H173" s="28"/>
      <c r="V173" s="27"/>
    </row>
    <row r="174" spans="8:22" ht="15.75" customHeight="1">
      <c r="H174" s="28"/>
      <c r="V174" s="27"/>
    </row>
    <row r="175" spans="8:22" ht="15.75" customHeight="1">
      <c r="H175" s="28"/>
      <c r="V175" s="27"/>
    </row>
    <row r="176" spans="8:22" ht="15.75" customHeight="1">
      <c r="H176" s="28"/>
      <c r="V176" s="27"/>
    </row>
    <row r="177" spans="8:22" ht="15.75" customHeight="1">
      <c r="H177" s="28"/>
      <c r="V177" s="27"/>
    </row>
    <row r="178" spans="8:22" ht="15.75" customHeight="1">
      <c r="H178" s="28"/>
      <c r="V178" s="27"/>
    </row>
    <row r="179" spans="8:22" ht="15.75" customHeight="1">
      <c r="H179" s="28"/>
      <c r="V179" s="27"/>
    </row>
    <row r="180" spans="8:22" ht="15.75" customHeight="1">
      <c r="H180" s="28"/>
      <c r="V180" s="27"/>
    </row>
    <row r="181" spans="8:22" ht="15.75" customHeight="1">
      <c r="H181" s="28"/>
      <c r="V181" s="27"/>
    </row>
    <row r="182" spans="8:22" ht="15.75" customHeight="1">
      <c r="H182" s="28"/>
      <c r="V182" s="27"/>
    </row>
    <row r="183" spans="8:22" ht="15.75" customHeight="1">
      <c r="H183" s="28"/>
      <c r="V183" s="27"/>
    </row>
    <row r="184" spans="8:22" ht="15.75" customHeight="1">
      <c r="H184" s="28"/>
      <c r="V184" s="27"/>
    </row>
    <row r="185" spans="8:22" ht="15.75" customHeight="1">
      <c r="H185" s="28"/>
      <c r="V185" s="27"/>
    </row>
    <row r="186" spans="8:22" ht="15.75" customHeight="1">
      <c r="H186" s="28"/>
      <c r="V186" s="27"/>
    </row>
    <row r="187" spans="8:22" ht="15.75" customHeight="1">
      <c r="H187" s="28"/>
      <c r="V187" s="27"/>
    </row>
    <row r="188" spans="8:22" ht="15.75" customHeight="1">
      <c r="H188" s="28"/>
      <c r="V188" s="27"/>
    </row>
    <row r="189" spans="8:22" ht="15.75" customHeight="1">
      <c r="H189" s="28"/>
      <c r="V189" s="27"/>
    </row>
    <row r="190" spans="8:22" ht="15.75" customHeight="1">
      <c r="H190" s="28"/>
      <c r="V190" s="27"/>
    </row>
    <row r="191" spans="8:22" ht="15.75" customHeight="1">
      <c r="H191" s="28"/>
      <c r="V191" s="27"/>
    </row>
    <row r="192" spans="8:22" ht="15.75" customHeight="1">
      <c r="H192" s="28"/>
      <c r="V192" s="27"/>
    </row>
    <row r="193" spans="8:22" ht="15.75" customHeight="1">
      <c r="H193" s="28"/>
      <c r="V193" s="27"/>
    </row>
    <row r="194" spans="8:22" ht="15.75" customHeight="1">
      <c r="H194" s="28"/>
      <c r="V194" s="27"/>
    </row>
    <row r="195" spans="8:22" ht="15.75" customHeight="1">
      <c r="H195" s="28"/>
      <c r="V195" s="27"/>
    </row>
    <row r="196" spans="8:22" ht="15.75" customHeight="1">
      <c r="H196" s="28"/>
      <c r="V196" s="27"/>
    </row>
    <row r="197" spans="8:22" ht="15.75" customHeight="1">
      <c r="H197" s="28"/>
      <c r="V197" s="27"/>
    </row>
    <row r="198" spans="8:22" ht="15.75" customHeight="1">
      <c r="H198" s="28"/>
      <c r="V198" s="27"/>
    </row>
    <row r="199" spans="8:22" ht="15.75" customHeight="1">
      <c r="H199" s="28"/>
      <c r="V199" s="27"/>
    </row>
    <row r="200" spans="8:22" ht="15.75" customHeight="1">
      <c r="H200" s="28"/>
      <c r="V200" s="27"/>
    </row>
    <row r="201" spans="8:22" ht="15.75" customHeight="1">
      <c r="H201" s="28"/>
      <c r="V201" s="27"/>
    </row>
    <row r="202" spans="8:22" ht="15.75" customHeight="1">
      <c r="H202" s="28"/>
      <c r="V202" s="27"/>
    </row>
    <row r="203" spans="8:22" ht="15.75" customHeight="1">
      <c r="H203" s="28"/>
      <c r="V203" s="27"/>
    </row>
    <row r="204" spans="8:22" ht="15.75" customHeight="1">
      <c r="H204" s="28"/>
      <c r="V204" s="27"/>
    </row>
    <row r="205" spans="8:22" ht="15.75" customHeight="1">
      <c r="H205" s="28"/>
      <c r="V205" s="27"/>
    </row>
    <row r="206" spans="8:22" ht="15.75" customHeight="1">
      <c r="H206" s="28"/>
      <c r="V206" s="27"/>
    </row>
    <row r="207" spans="8:22" ht="15.75" customHeight="1">
      <c r="H207" s="28"/>
      <c r="V207" s="27"/>
    </row>
    <row r="208" spans="8:22" ht="15.75" customHeight="1">
      <c r="H208" s="28"/>
      <c r="V208" s="27"/>
    </row>
    <row r="209" spans="8:22" ht="15.75" customHeight="1">
      <c r="H209" s="28"/>
      <c r="V209" s="27"/>
    </row>
    <row r="210" spans="8:22" ht="15.75" customHeight="1">
      <c r="H210" s="28"/>
      <c r="V210" s="27"/>
    </row>
    <row r="211" spans="8:22" ht="15.75" customHeight="1">
      <c r="H211" s="28"/>
      <c r="V211" s="27"/>
    </row>
    <row r="212" spans="8:22" ht="15.75" customHeight="1">
      <c r="H212" s="28"/>
      <c r="V212" s="27"/>
    </row>
    <row r="213" spans="8:22" ht="15.75" customHeight="1">
      <c r="H213" s="28"/>
      <c r="V213" s="27"/>
    </row>
    <row r="214" spans="8:22" ht="15.75" customHeight="1">
      <c r="H214" s="28"/>
      <c r="V214" s="27"/>
    </row>
    <row r="215" spans="8:22" ht="15.75" customHeight="1">
      <c r="H215" s="28"/>
      <c r="V215" s="27"/>
    </row>
    <row r="216" spans="8:22" ht="15.75" customHeight="1">
      <c r="H216" s="28"/>
      <c r="V216" s="27"/>
    </row>
    <row r="217" spans="8:22" ht="15.75" customHeight="1">
      <c r="H217" s="28"/>
      <c r="V217" s="27"/>
    </row>
    <row r="218" spans="8:22" ht="15.75" customHeight="1">
      <c r="H218" s="28"/>
      <c r="V218" s="27"/>
    </row>
    <row r="219" spans="8:22" ht="15.75" customHeight="1">
      <c r="H219" s="28"/>
      <c r="V219" s="27"/>
    </row>
    <row r="220" spans="8:22" ht="15.75" customHeight="1">
      <c r="H220" s="28"/>
      <c r="V220" s="27"/>
    </row>
    <row r="221" spans="8:22" ht="15.75" customHeight="1">
      <c r="H221" s="28"/>
      <c r="V221" s="27"/>
    </row>
    <row r="222" spans="8:22" ht="15.75" customHeight="1">
      <c r="H222" s="28"/>
      <c r="V222" s="27"/>
    </row>
    <row r="223" spans="8:22" ht="15.75" customHeight="1">
      <c r="H223" s="28"/>
      <c r="V223" s="27"/>
    </row>
    <row r="224" spans="8:22" ht="15.75" customHeight="1">
      <c r="H224" s="28"/>
      <c r="V224" s="27"/>
    </row>
    <row r="225" spans="8:22" ht="15.75" customHeight="1">
      <c r="H225" s="28"/>
      <c r="V225" s="27"/>
    </row>
    <row r="226" spans="8:22" ht="15.75" customHeight="1">
      <c r="H226" s="28"/>
      <c r="V226" s="27"/>
    </row>
    <row r="227" spans="8:22" ht="15.75" customHeight="1">
      <c r="H227" s="28"/>
      <c r="V227" s="27"/>
    </row>
    <row r="228" spans="8:22" ht="15.75" customHeight="1">
      <c r="H228" s="28"/>
      <c r="V228" s="27"/>
    </row>
    <row r="229" spans="8:22" ht="15.75" customHeight="1">
      <c r="H229" s="28"/>
      <c r="V229" s="27"/>
    </row>
    <row r="230" spans="8:22" ht="15.75" customHeight="1">
      <c r="H230" s="28"/>
      <c r="V230" s="27"/>
    </row>
    <row r="231" spans="8:22" ht="15.75" customHeight="1">
      <c r="H231" s="28"/>
      <c r="V231" s="27"/>
    </row>
    <row r="232" spans="8:22" ht="15.75" customHeight="1">
      <c r="H232" s="28"/>
      <c r="V232" s="27"/>
    </row>
    <row r="233" spans="8:22" ht="15.75" customHeight="1">
      <c r="H233" s="28"/>
      <c r="V233" s="27"/>
    </row>
    <row r="234" spans="8:22" ht="15.75" customHeight="1">
      <c r="H234" s="28"/>
      <c r="V234" s="27"/>
    </row>
    <row r="235" spans="8:22" ht="15.75" customHeight="1">
      <c r="H235" s="28"/>
      <c r="V235" s="27"/>
    </row>
    <row r="236" spans="8:22" ht="15.75" customHeight="1">
      <c r="H236" s="28"/>
      <c r="V236" s="27"/>
    </row>
    <row r="237" spans="8:22" ht="15.75" customHeight="1">
      <c r="H237" s="28"/>
      <c r="V237" s="27"/>
    </row>
    <row r="238" spans="8:22" ht="15.75" customHeight="1">
      <c r="H238" s="28"/>
      <c r="V238" s="27"/>
    </row>
    <row r="239" spans="8:22" ht="15.75" customHeight="1">
      <c r="H239" s="28"/>
      <c r="V239" s="27"/>
    </row>
    <row r="240" spans="8:22" ht="15.75" customHeight="1">
      <c r="H240" s="28"/>
      <c r="V240" s="27"/>
    </row>
    <row r="241" spans="8:22" ht="15.75" customHeight="1">
      <c r="H241" s="28"/>
      <c r="V241" s="27"/>
    </row>
    <row r="242" spans="8:22" ht="15.75" customHeight="1">
      <c r="H242" s="28"/>
      <c r="V242" s="27"/>
    </row>
    <row r="243" spans="8:22" ht="15.75" customHeight="1">
      <c r="H243" s="28"/>
      <c r="V243" s="27"/>
    </row>
    <row r="244" spans="8:22" ht="15.75" customHeight="1">
      <c r="H244" s="28"/>
      <c r="V244" s="27"/>
    </row>
    <row r="245" spans="8:22" ht="15.75" customHeight="1">
      <c r="H245" s="28"/>
      <c r="V245" s="27"/>
    </row>
    <row r="246" spans="8:22" ht="15.75" customHeight="1">
      <c r="H246" s="28"/>
      <c r="V246" s="27"/>
    </row>
    <row r="247" spans="8:22" ht="15.75" customHeight="1">
      <c r="H247" s="28"/>
      <c r="V247" s="27"/>
    </row>
    <row r="248" spans="8:22" ht="15.75" customHeight="1">
      <c r="H248" s="28"/>
      <c r="V248" s="27"/>
    </row>
    <row r="249" spans="8:22" ht="15.75" customHeight="1">
      <c r="H249" s="28"/>
      <c r="V249" s="27"/>
    </row>
    <row r="250" spans="8:22" ht="15.75" customHeight="1">
      <c r="H250" s="28"/>
      <c r="V250" s="27"/>
    </row>
    <row r="251" spans="8:22" ht="15.75" customHeight="1">
      <c r="H251" s="28"/>
      <c r="V251" s="2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19" r:id="rId4"/>
  <legacyDrawing r:id="rId2"/>
  <tableParts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showGridLines="0" tabSelected="1" zoomScalePageLayoutView="0" workbookViewId="0" topLeftCell="A4">
      <selection activeCell="A1" sqref="A1"/>
    </sheetView>
  </sheetViews>
  <sheetFormatPr defaultColWidth="11.421875" defaultRowHeight="15"/>
  <cols>
    <col min="1" max="1" width="33.57421875" style="31" customWidth="1"/>
    <col min="2" max="2" width="23.421875" style="32" customWidth="1"/>
    <col min="3" max="3" width="23.421875" style="33" customWidth="1"/>
    <col min="4" max="4" width="23.421875" style="32" customWidth="1"/>
    <col min="5" max="5" width="9.140625" style="31" customWidth="1"/>
    <col min="6" max="6" width="12.00390625" style="31" customWidth="1"/>
    <col min="7" max="7" width="28.57421875" style="31" customWidth="1"/>
    <col min="8" max="8" width="18.8515625" style="31" customWidth="1"/>
    <col min="9" max="9" width="12.28125" style="33" bestFit="1" customWidth="1"/>
    <col min="10" max="16384" width="9.140625" style="31" customWidth="1"/>
  </cols>
  <sheetData>
    <row r="1" ht="14.25">
      <c r="A1" s="31" t="s">
        <v>387</v>
      </c>
    </row>
    <row r="3" spans="1:5" ht="15">
      <c r="A3"/>
      <c r="B3" s="34" t="s">
        <v>306</v>
      </c>
      <c r="C3"/>
      <c r="D3"/>
      <c r="E3" s="30"/>
    </row>
    <row r="4" spans="1:5" ht="15">
      <c r="A4" s="34" t="s">
        <v>307</v>
      </c>
      <c r="B4" t="s">
        <v>308</v>
      </c>
      <c r="C4" t="s">
        <v>309</v>
      </c>
      <c r="D4" t="s">
        <v>310</v>
      </c>
      <c r="E4" s="30"/>
    </row>
    <row r="5" spans="1:5" ht="15">
      <c r="A5" s="35" t="s">
        <v>251</v>
      </c>
      <c r="B5" s="5">
        <v>55423.151600207435</v>
      </c>
      <c r="C5" s="5">
        <v>26978.37152124016</v>
      </c>
      <c r="D5" s="5">
        <v>26978.37152124016</v>
      </c>
      <c r="E5" s="30"/>
    </row>
    <row r="6" spans="1:5" ht="15">
      <c r="A6" s="35" t="s">
        <v>259</v>
      </c>
      <c r="B6" s="5">
        <v>13637.35720380816</v>
      </c>
      <c r="C6" s="5">
        <v>120.15625622351227</v>
      </c>
      <c r="D6" s="5">
        <v>120.15625622351227</v>
      </c>
      <c r="E6" s="30"/>
    </row>
    <row r="7" spans="1:5" ht="15">
      <c r="A7" s="35" t="s">
        <v>270</v>
      </c>
      <c r="B7" s="5">
        <v>6499.760884520843</v>
      </c>
      <c r="C7" s="5">
        <v>0</v>
      </c>
      <c r="D7" s="5">
        <v>6499.760884520843</v>
      </c>
      <c r="E7" s="30"/>
    </row>
    <row r="8" spans="1:5" ht="15">
      <c r="A8" s="35" t="s">
        <v>189</v>
      </c>
      <c r="B8" s="5">
        <v>16074.28919436628</v>
      </c>
      <c r="C8" s="5">
        <v>3690.468215763282</v>
      </c>
      <c r="D8" s="5">
        <v>4393.414542575337</v>
      </c>
      <c r="E8" s="30"/>
    </row>
    <row r="9" spans="1:5" ht="15">
      <c r="A9" s="35" t="s">
        <v>245</v>
      </c>
      <c r="B9" s="5">
        <v>5207.668622336321</v>
      </c>
      <c r="C9" s="5">
        <v>0</v>
      </c>
      <c r="D9" s="5">
        <v>5207.668622336321</v>
      </c>
      <c r="E9" s="30"/>
    </row>
    <row r="10" spans="1:5" ht="15">
      <c r="A10" s="35" t="s">
        <v>187</v>
      </c>
      <c r="B10" s="5">
        <v>8431.920834869028</v>
      </c>
      <c r="C10" s="5">
        <v>1966.0044528424687</v>
      </c>
      <c r="D10" s="5">
        <v>2340.4814914791295</v>
      </c>
      <c r="E10" s="30"/>
    </row>
    <row r="11" spans="1:5" ht="15">
      <c r="A11" s="35" t="s">
        <v>311</v>
      </c>
      <c r="B11" s="5">
        <v>105274.14834010808</v>
      </c>
      <c r="C11" s="5">
        <v>32755.00044606942</v>
      </c>
      <c r="D11" s="5">
        <v>45539.8533183753</v>
      </c>
      <c r="E11" s="30"/>
    </row>
    <row r="13" spans="1:6" s="32" customFormat="1" ht="15">
      <c r="A13"/>
      <c r="B13"/>
      <c r="C13"/>
      <c r="D13" s="31"/>
      <c r="E13" s="31"/>
      <c r="F13" s="33"/>
    </row>
    <row r="14" spans="1:6" s="32" customFormat="1" ht="15">
      <c r="A14" s="17" t="s">
        <v>57</v>
      </c>
      <c r="B14" s="17"/>
      <c r="C14" s="17" t="s">
        <v>313</v>
      </c>
      <c r="D14" s="31"/>
      <c r="E14" s="31"/>
      <c r="F14" s="33"/>
    </row>
    <row r="15" spans="1:6" s="32" customFormat="1" ht="15">
      <c r="A15" s="17" t="s">
        <v>76</v>
      </c>
      <c r="B15" s="17" t="s">
        <v>77</v>
      </c>
      <c r="C15" s="36">
        <f>GETPIVOTDATA("Sum of Total Fuel",$A$3,"Fuel Type","HSD")*1000</f>
        <v>4393414.542575337</v>
      </c>
      <c r="D15" s="31"/>
      <c r="E15" s="31"/>
      <c r="F15" s="33"/>
    </row>
    <row r="16" spans="1:6" s="32" customFormat="1" ht="15">
      <c r="A16" s="17"/>
      <c r="B16" s="17" t="s">
        <v>78</v>
      </c>
      <c r="C16" s="36">
        <v>0</v>
      </c>
      <c r="D16" s="31"/>
      <c r="E16" s="31"/>
      <c r="F16" s="33"/>
    </row>
    <row r="17" spans="1:6" s="32" customFormat="1" ht="15">
      <c r="A17" s="17"/>
      <c r="B17" s="17" t="s">
        <v>79</v>
      </c>
      <c r="C17" s="36">
        <f>GETPIVOTDATA("Sum of Total Fuel",$A$3,"Fuel Type","MFO")*1000</f>
        <v>2340481.4914791295</v>
      </c>
      <c r="D17" s="31"/>
      <c r="E17" s="31"/>
      <c r="F17" s="33"/>
    </row>
    <row r="18" spans="1:6" s="32" customFormat="1" ht="15">
      <c r="A18" s="17"/>
      <c r="B18" s="17" t="s">
        <v>80</v>
      </c>
      <c r="C18" s="36">
        <f>SUM(C15:C17)</f>
        <v>6733896.0340544665</v>
      </c>
      <c r="D18" s="31"/>
      <c r="E18" s="31"/>
      <c r="F18" s="33"/>
    </row>
    <row r="19" spans="1:6" s="32" customFormat="1" ht="15">
      <c r="A19" s="17" t="s">
        <v>312</v>
      </c>
      <c r="B19" s="17"/>
      <c r="C19" s="36">
        <f>GETPIVOTDATA("Sum of Total Fuel",$A$3,"Fuel Type","COAL")</f>
        <v>26978.37152124016</v>
      </c>
      <c r="D19" s="31"/>
      <c r="E19" s="31"/>
      <c r="F19" s="33"/>
    </row>
    <row r="20" spans="1:9" s="32" customFormat="1" ht="15">
      <c r="A20" s="17" t="s">
        <v>159</v>
      </c>
      <c r="B20" s="17"/>
      <c r="C20" s="36">
        <f>GETPIVOTDATA("Sum of Total Fuel",$A$3,"Fuel Type","GAS")*1000/(9.486*10^-4)/10^3/48/0.654*35.3145</f>
        <v>142494.25136003122</v>
      </c>
      <c r="E20" s="31"/>
      <c r="F20" s="31"/>
      <c r="G20" s="31"/>
      <c r="H20" s="31"/>
      <c r="I20" s="33"/>
    </row>
    <row r="22" spans="1:8" ht="15">
      <c r="A22" s="34" t="s">
        <v>380</v>
      </c>
      <c r="B22"/>
      <c r="C22"/>
      <c r="D22"/>
      <c r="E22"/>
      <c r="F22"/>
      <c r="G22"/>
      <c r="H22"/>
    </row>
    <row r="23" spans="1:8" ht="15">
      <c r="A23" s="34" t="s">
        <v>61</v>
      </c>
      <c r="B23" s="34" t="s">
        <v>224</v>
      </c>
      <c r="C23" t="s">
        <v>21</v>
      </c>
      <c r="D23"/>
      <c r="E23"/>
      <c r="F23"/>
      <c r="G23"/>
      <c r="H23"/>
    </row>
    <row r="24" spans="1:8" ht="15">
      <c r="A24" t="s">
        <v>63</v>
      </c>
      <c r="B24" t="s">
        <v>244</v>
      </c>
      <c r="C24" s="5">
        <v>2607.449405362894</v>
      </c>
      <c r="D24"/>
      <c r="E24"/>
      <c r="F24"/>
      <c r="G24"/>
      <c r="H24"/>
    </row>
    <row r="25" spans="1:8" ht="15">
      <c r="A25"/>
      <c r="B25" t="s">
        <v>294</v>
      </c>
      <c r="C25" s="5">
        <v>703.227951</v>
      </c>
      <c r="D25"/>
      <c r="E25"/>
      <c r="F25"/>
      <c r="G25"/>
      <c r="H25"/>
    </row>
    <row r="26" spans="1:8" ht="15">
      <c r="A26"/>
      <c r="B26" t="s">
        <v>274</v>
      </c>
      <c r="C26" s="5">
        <v>1896.9912659734277</v>
      </c>
      <c r="D26"/>
      <c r="E26"/>
      <c r="F26"/>
      <c r="G26"/>
      <c r="H26"/>
    </row>
    <row r="27" spans="1:8" ht="15">
      <c r="A27" t="s">
        <v>373</v>
      </c>
      <c r="B27"/>
      <c r="C27" s="5">
        <v>5207.668622336321</v>
      </c>
      <c r="D27"/>
      <c r="E27"/>
      <c r="F27"/>
      <c r="G27"/>
      <c r="H27"/>
    </row>
    <row r="28" spans="1:8" ht="15">
      <c r="A28" t="s">
        <v>71</v>
      </c>
      <c r="B28" t="s">
        <v>244</v>
      </c>
      <c r="C28" s="5">
        <v>108.20288310534359</v>
      </c>
      <c r="D28"/>
      <c r="E28"/>
      <c r="F28"/>
      <c r="G28"/>
      <c r="H28"/>
    </row>
    <row r="29" spans="1:8" ht="15">
      <c r="A29" t="s">
        <v>374</v>
      </c>
      <c r="B29"/>
      <c r="C29" s="5">
        <v>108.20288310534359</v>
      </c>
      <c r="D29"/>
      <c r="E29"/>
      <c r="F29"/>
      <c r="G29"/>
      <c r="H29"/>
    </row>
    <row r="30" spans="1:8" ht="15">
      <c r="A30" t="s">
        <v>67</v>
      </c>
      <c r="B30" t="s">
        <v>244</v>
      </c>
      <c r="C30" s="5">
        <v>1452.9847538534873</v>
      </c>
      <c r="D30"/>
      <c r="E30"/>
      <c r="F30"/>
      <c r="G30"/>
      <c r="H30"/>
    </row>
    <row r="31" spans="1:8" ht="15">
      <c r="A31"/>
      <c r="B31" t="s">
        <v>294</v>
      </c>
      <c r="C31" s="5">
        <v>401.345541</v>
      </c>
      <c r="D31"/>
      <c r="E31"/>
      <c r="F31"/>
      <c r="G31"/>
      <c r="H31"/>
    </row>
    <row r="32" spans="1:8" ht="15">
      <c r="A32"/>
      <c r="B32" t="s">
        <v>274</v>
      </c>
      <c r="C32" s="5">
        <v>36.31331590792839</v>
      </c>
      <c r="D32"/>
      <c r="E32"/>
      <c r="F32"/>
      <c r="G32"/>
      <c r="H32"/>
    </row>
    <row r="33" spans="1:8" ht="15">
      <c r="A33" t="s">
        <v>375</v>
      </c>
      <c r="B33"/>
      <c r="C33" s="5">
        <v>1890.6436107614159</v>
      </c>
      <c r="D33"/>
      <c r="E33"/>
      <c r="F33"/>
      <c r="G33"/>
      <c r="H33"/>
    </row>
    <row r="34" spans="1:8" ht="15">
      <c r="A34" t="s">
        <v>69</v>
      </c>
      <c r="B34" t="s">
        <v>244</v>
      </c>
      <c r="C34" s="5">
        <v>12139.69032049657</v>
      </c>
      <c r="D34"/>
      <c r="E34"/>
      <c r="F34"/>
      <c r="G34"/>
      <c r="H34"/>
    </row>
    <row r="35" spans="1:8" ht="15">
      <c r="A35"/>
      <c r="B35" t="s">
        <v>274</v>
      </c>
      <c r="C35" s="5">
        <v>13157.55699176027</v>
      </c>
      <c r="D35"/>
      <c r="E35"/>
      <c r="F35"/>
      <c r="G35"/>
      <c r="H35"/>
    </row>
    <row r="36" spans="1:8" ht="15">
      <c r="A36"/>
      <c r="B36" t="s">
        <v>292</v>
      </c>
      <c r="C36" s="5">
        <v>1641.8770843298971</v>
      </c>
      <c r="D36"/>
      <c r="E36"/>
      <c r="F36"/>
      <c r="G36"/>
      <c r="H36"/>
    </row>
    <row r="37" spans="1:8" ht="15">
      <c r="A37" t="s">
        <v>376</v>
      </c>
      <c r="B37"/>
      <c r="C37" s="5">
        <v>26939.12439658674</v>
      </c>
      <c r="D37"/>
      <c r="E37"/>
      <c r="F37"/>
      <c r="G37"/>
      <c r="H37"/>
    </row>
    <row r="38" spans="1:8" ht="15">
      <c r="A38" t="s">
        <v>70</v>
      </c>
      <c r="B38" t="s">
        <v>244</v>
      </c>
      <c r="C38" s="5">
        <v>2989.1157655208435</v>
      </c>
      <c r="D38"/>
      <c r="E38"/>
      <c r="F38"/>
      <c r="G38"/>
      <c r="H38"/>
    </row>
    <row r="39" spans="1:8" ht="15">
      <c r="A39"/>
      <c r="B39" t="s">
        <v>294</v>
      </c>
      <c r="C39" s="5">
        <v>3510.645119</v>
      </c>
      <c r="D39"/>
      <c r="E39"/>
      <c r="F39"/>
      <c r="G39"/>
      <c r="H39"/>
    </row>
    <row r="40" spans="1:8" ht="15">
      <c r="A40" t="s">
        <v>377</v>
      </c>
      <c r="B40"/>
      <c r="C40" s="5">
        <v>6499.760884520843</v>
      </c>
      <c r="D40"/>
      <c r="E40"/>
      <c r="F40"/>
      <c r="G40"/>
      <c r="H40"/>
    </row>
    <row r="41" spans="1:8" ht="15">
      <c r="A41" t="s">
        <v>65</v>
      </c>
      <c r="B41" t="s">
        <v>244</v>
      </c>
      <c r="C41" s="5">
        <v>26943.830810536867</v>
      </c>
      <c r="D41"/>
      <c r="E41"/>
      <c r="F41"/>
      <c r="G41"/>
      <c r="H41"/>
    </row>
    <row r="42" spans="1:8" ht="15">
      <c r="A42"/>
      <c r="B42" t="s">
        <v>294</v>
      </c>
      <c r="C42" s="5">
        <v>25584.45014264843</v>
      </c>
      <c r="D42"/>
      <c r="E42"/>
      <c r="F42"/>
      <c r="G42"/>
      <c r="H42"/>
    </row>
    <row r="43" spans="1:8" ht="15">
      <c r="A43"/>
      <c r="B43" t="s">
        <v>274</v>
      </c>
      <c r="C43" s="5">
        <v>12098.848288640711</v>
      </c>
      <c r="D43"/>
      <c r="E43"/>
      <c r="F43"/>
      <c r="G43"/>
      <c r="H43"/>
    </row>
    <row r="44" spans="1:8" ht="15">
      <c r="A44"/>
      <c r="B44" t="s">
        <v>378</v>
      </c>
      <c r="C44" s="5">
        <v>1.618700971391528</v>
      </c>
      <c r="D44"/>
      <c r="E44"/>
      <c r="F44"/>
      <c r="G44"/>
      <c r="H44"/>
    </row>
    <row r="45" spans="1:8" ht="15">
      <c r="A45" t="s">
        <v>379</v>
      </c>
      <c r="B45"/>
      <c r="C45" s="5">
        <v>64628.7479427974</v>
      </c>
      <c r="D45"/>
      <c r="E45"/>
      <c r="F45"/>
      <c r="G45"/>
      <c r="H45"/>
    </row>
    <row r="46" spans="1:8" ht="15">
      <c r="A46" t="s">
        <v>311</v>
      </c>
      <c r="B46"/>
      <c r="C46" s="5">
        <v>105274.14834010806</v>
      </c>
      <c r="D46"/>
      <c r="E46"/>
      <c r="F46"/>
      <c r="G46"/>
      <c r="H46"/>
    </row>
    <row r="48" spans="1:3" ht="15">
      <c r="A48" s="34" t="s">
        <v>381</v>
      </c>
      <c r="B48"/>
      <c r="C48"/>
    </row>
    <row r="49" spans="1:3" ht="15">
      <c r="A49" s="34" t="s">
        <v>61</v>
      </c>
      <c r="B49" s="34" t="s">
        <v>224</v>
      </c>
      <c r="C49" t="s">
        <v>21</v>
      </c>
    </row>
    <row r="50" spans="1:3" ht="15">
      <c r="A50" t="s">
        <v>63</v>
      </c>
      <c r="B50" t="s">
        <v>294</v>
      </c>
      <c r="C50" s="5">
        <v>703.227951</v>
      </c>
    </row>
    <row r="51" spans="1:3" ht="15">
      <c r="A51" t="s">
        <v>373</v>
      </c>
      <c r="B51"/>
      <c r="C51" s="5">
        <v>703.227951</v>
      </c>
    </row>
    <row r="52" spans="1:3" ht="15">
      <c r="A52" t="s">
        <v>67</v>
      </c>
      <c r="B52" t="s">
        <v>294</v>
      </c>
      <c r="C52" s="5">
        <v>401.345541</v>
      </c>
    </row>
    <row r="53" spans="1:3" ht="15">
      <c r="A53" t="s">
        <v>375</v>
      </c>
      <c r="B53"/>
      <c r="C53" s="5">
        <v>401.345541</v>
      </c>
    </row>
    <row r="54" spans="1:3" ht="15">
      <c r="A54" t="s">
        <v>70</v>
      </c>
      <c r="B54" t="s">
        <v>294</v>
      </c>
      <c r="C54" s="5">
        <v>3510.645119</v>
      </c>
    </row>
    <row r="55" spans="1:3" ht="15">
      <c r="A55" t="s">
        <v>377</v>
      </c>
      <c r="B55"/>
      <c r="C55" s="5">
        <v>3510.645119</v>
      </c>
    </row>
    <row r="56" spans="1:3" ht="15">
      <c r="A56" t="s">
        <v>65</v>
      </c>
      <c r="B56" t="s">
        <v>294</v>
      </c>
      <c r="C56" s="5">
        <v>25584.45014264843</v>
      </c>
    </row>
    <row r="57" spans="1:3" ht="15">
      <c r="A57" t="s">
        <v>379</v>
      </c>
      <c r="B57"/>
      <c r="C57" s="5">
        <v>25584.45014264843</v>
      </c>
    </row>
    <row r="58" spans="1:3" ht="15">
      <c r="A58" t="s">
        <v>311</v>
      </c>
      <c r="B58"/>
      <c r="C58" s="5">
        <v>30199.66875364843</v>
      </c>
    </row>
    <row r="59" spans="1:3" ht="15">
      <c r="A59"/>
      <c r="B59"/>
      <c r="C59"/>
    </row>
    <row r="60" spans="1:3" ht="15">
      <c r="A60"/>
      <c r="B60"/>
      <c r="C60"/>
    </row>
    <row r="61" spans="1:3" ht="15">
      <c r="A61"/>
      <c r="B61"/>
      <c r="C61"/>
    </row>
    <row r="62" spans="1:3" ht="15">
      <c r="A62"/>
      <c r="B62"/>
      <c r="C62"/>
    </row>
    <row r="63" spans="1:3" ht="15">
      <c r="A63"/>
      <c r="B63"/>
      <c r="C63"/>
    </row>
    <row r="64" spans="1:3" ht="15">
      <c r="A64"/>
      <c r="B64"/>
      <c r="C64"/>
    </row>
    <row r="65" spans="1:3" ht="15">
      <c r="A65"/>
      <c r="B65"/>
      <c r="C65"/>
    </row>
    <row r="66" spans="1:3" ht="15">
      <c r="A66"/>
      <c r="B66"/>
      <c r="C66"/>
    </row>
    <row r="67" spans="1:3" ht="15">
      <c r="A67"/>
      <c r="B67"/>
      <c r="C67"/>
    </row>
    <row r="68" spans="1:3" ht="15">
      <c r="A68"/>
      <c r="B68"/>
      <c r="C68"/>
    </row>
    <row r="69" spans="1:3" ht="15">
      <c r="A69"/>
      <c r="B69"/>
      <c r="C69"/>
    </row>
    <row r="70" spans="1:3" ht="15">
      <c r="A70"/>
      <c r="B70"/>
      <c r="C70"/>
    </row>
    <row r="71" spans="1:3" ht="15">
      <c r="A71"/>
      <c r="B71"/>
      <c r="C71"/>
    </row>
    <row r="72" spans="1:3" ht="15">
      <c r="A72"/>
      <c r="B72"/>
      <c r="C7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27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11.00390625" style="0" customWidth="1"/>
    <col min="2" max="2" width="39.8515625" style="0" customWidth="1"/>
    <col min="3" max="4" width="10.8515625" style="0" customWidth="1"/>
    <col min="5" max="16384" width="9.140625" style="0" customWidth="1"/>
  </cols>
  <sheetData>
    <row r="3" ht="15">
      <c r="A3" t="s">
        <v>20</v>
      </c>
    </row>
    <row r="4" spans="1:4" ht="15">
      <c r="A4" t="s">
        <v>18</v>
      </c>
      <c r="C4" t="s">
        <v>1</v>
      </c>
      <c r="D4" t="s">
        <v>3</v>
      </c>
    </row>
    <row r="5" spans="1:4" ht="15">
      <c r="A5">
        <v>1</v>
      </c>
      <c r="B5" t="s">
        <v>0</v>
      </c>
      <c r="C5" t="s">
        <v>2</v>
      </c>
      <c r="D5">
        <v>2767.5</v>
      </c>
    </row>
    <row r="6" spans="1:4" ht="15">
      <c r="A6">
        <v>2</v>
      </c>
      <c r="B6" t="s">
        <v>4</v>
      </c>
      <c r="C6" t="s">
        <v>5</v>
      </c>
      <c r="D6">
        <v>9.5</v>
      </c>
    </row>
    <row r="7" spans="1:4" ht="15">
      <c r="A7">
        <v>3</v>
      </c>
      <c r="B7" t="s">
        <v>6</v>
      </c>
      <c r="C7" t="s">
        <v>7</v>
      </c>
      <c r="D7">
        <v>8000</v>
      </c>
    </row>
    <row r="8" spans="1:4" ht="15">
      <c r="A8">
        <v>4</v>
      </c>
      <c r="B8" t="s">
        <v>9</v>
      </c>
      <c r="C8" t="s">
        <v>10</v>
      </c>
      <c r="D8">
        <f>0.9</f>
        <v>0.9</v>
      </c>
    </row>
    <row r="9" spans="1:4" ht="15">
      <c r="A9" t="s">
        <v>15</v>
      </c>
      <c r="C9" t="s">
        <v>8</v>
      </c>
      <c r="D9">
        <f>ROUNDDOWN(PRODUCT(D5:D7)/D8/10^6,2)</f>
        <v>233.7</v>
      </c>
    </row>
    <row r="10" ht="15">
      <c r="A10" t="s">
        <v>19</v>
      </c>
    </row>
    <row r="11" spans="1:4" ht="15">
      <c r="A11">
        <v>1</v>
      </c>
      <c r="B11" t="s">
        <v>11</v>
      </c>
      <c r="C11" t="s">
        <v>12</v>
      </c>
      <c r="D11">
        <f>ROUNDDOWN(13.61*0.9*(1-0.03),2)</f>
        <v>11.88</v>
      </c>
    </row>
    <row r="12" spans="1:4" ht="15">
      <c r="A12">
        <v>2</v>
      </c>
      <c r="B12" t="s">
        <v>13</v>
      </c>
      <c r="C12" t="s">
        <v>7</v>
      </c>
      <c r="D12">
        <v>8000</v>
      </c>
    </row>
    <row r="13" spans="1:4" ht="15">
      <c r="A13">
        <v>4</v>
      </c>
      <c r="B13" t="s">
        <v>14</v>
      </c>
      <c r="C13" t="s">
        <v>10</v>
      </c>
      <c r="D13">
        <v>0.4</v>
      </c>
    </row>
    <row r="14" spans="1:4" ht="15">
      <c r="A14" t="s">
        <v>16</v>
      </c>
      <c r="C14" t="s">
        <v>8</v>
      </c>
      <c r="D14">
        <f>ROUNDDOWN(D11*3600*D12/D13/10^6,2)</f>
        <v>855.36</v>
      </c>
    </row>
    <row r="15" spans="1:4" ht="15">
      <c r="A15" t="s">
        <v>17</v>
      </c>
      <c r="C15" t="s">
        <v>8</v>
      </c>
      <c r="D15">
        <f>D14+D9</f>
        <v>1089.06</v>
      </c>
    </row>
    <row r="18" ht="15">
      <c r="A18" t="s">
        <v>22</v>
      </c>
    </row>
    <row r="19" spans="1:4" ht="15">
      <c r="A19" t="s">
        <v>23</v>
      </c>
      <c r="C19" t="s">
        <v>1</v>
      </c>
      <c r="D19" t="s">
        <v>3</v>
      </c>
    </row>
    <row r="20" spans="1:4" ht="15">
      <c r="A20" t="s">
        <v>15</v>
      </c>
      <c r="C20" t="s">
        <v>8</v>
      </c>
      <c r="D20">
        <v>0</v>
      </c>
    </row>
    <row r="21" ht="15">
      <c r="A21" t="s">
        <v>19</v>
      </c>
    </row>
    <row r="22" spans="1:4" ht="15">
      <c r="A22">
        <v>1</v>
      </c>
      <c r="B22" t="s">
        <v>11</v>
      </c>
      <c r="C22" t="s">
        <v>12</v>
      </c>
      <c r="D22">
        <f>ROUNDDOWN(13.61*0.9*(1-0.03),2)</f>
        <v>11.88</v>
      </c>
    </row>
    <row r="23" spans="1:4" ht="15">
      <c r="A23">
        <v>2</v>
      </c>
      <c r="B23" t="s">
        <v>13</v>
      </c>
      <c r="C23" t="s">
        <v>7</v>
      </c>
      <c r="D23">
        <v>8000</v>
      </c>
    </row>
    <row r="24" spans="1:4" ht="15">
      <c r="A24">
        <v>4</v>
      </c>
      <c r="B24" t="s">
        <v>14</v>
      </c>
      <c r="C24" t="s">
        <v>10</v>
      </c>
      <c r="D24">
        <v>0.418</v>
      </c>
    </row>
    <row r="25" spans="1:4" ht="15">
      <c r="A25" t="s">
        <v>16</v>
      </c>
      <c r="C25" t="s">
        <v>8</v>
      </c>
      <c r="D25">
        <f>ROUNDDOWN(D22*3600*D23/D24/10^6,2)</f>
        <v>818.52</v>
      </c>
    </row>
    <row r="26" spans="1:4" ht="15">
      <c r="A26" t="s">
        <v>17</v>
      </c>
      <c r="C26" t="s">
        <v>8</v>
      </c>
      <c r="D26">
        <f>D25+D20</f>
        <v>818.52</v>
      </c>
    </row>
    <row r="27" spans="1:4" ht="15">
      <c r="A27" t="s">
        <v>24</v>
      </c>
      <c r="D27" s="37">
        <f>(D15-D26)/D15</f>
        <v>0.24841606523056578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J65"/>
  <sheetViews>
    <sheetView showGridLines="0" tabSelected="1" zoomScalePageLayoutView="0" workbookViewId="0" topLeftCell="A1">
      <selection activeCell="A1" sqref="A1"/>
    </sheetView>
  </sheetViews>
  <sheetFormatPr defaultColWidth="11.421875" defaultRowHeight="15" outlineLevelRow="2"/>
  <cols>
    <col min="1" max="1" width="12.28125" style="0" customWidth="1"/>
    <col min="2" max="2" width="15.28125" style="0" customWidth="1"/>
    <col min="3" max="5" width="17.140625" style="0" customWidth="1"/>
    <col min="6" max="6" width="14.57421875" style="0" customWidth="1"/>
    <col min="7" max="7" width="12.421875" style="0" customWidth="1"/>
    <col min="8" max="8" width="15.28125" style="0" bestFit="1" customWidth="1"/>
    <col min="9" max="9" width="9.140625" style="0" customWidth="1"/>
    <col min="10" max="13" width="19.8515625" style="0" customWidth="1"/>
    <col min="14" max="16384" width="9.140625" style="0" customWidth="1"/>
  </cols>
  <sheetData>
    <row r="2" spans="1:7" ht="15">
      <c r="A2" s="3" t="s">
        <v>25</v>
      </c>
      <c r="F2" t="s">
        <v>26</v>
      </c>
      <c r="G2" t="s">
        <v>3</v>
      </c>
    </row>
    <row r="3" spans="1:7" ht="15">
      <c r="A3">
        <v>1</v>
      </c>
      <c r="B3" t="s">
        <v>27</v>
      </c>
      <c r="F3" t="s">
        <v>12</v>
      </c>
      <c r="G3">
        <v>13.61</v>
      </c>
    </row>
    <row r="4" spans="1:7" ht="15">
      <c r="A4">
        <v>2</v>
      </c>
      <c r="B4" t="s">
        <v>29</v>
      </c>
      <c r="G4" s="1">
        <v>0.9</v>
      </c>
    </row>
    <row r="5" spans="1:7" ht="15">
      <c r="A5">
        <v>3</v>
      </c>
      <c r="B5" t="s">
        <v>28</v>
      </c>
      <c r="F5" t="s">
        <v>12</v>
      </c>
      <c r="G5" s="2">
        <f>G3*G4*(1-0.03)</f>
        <v>11.88153</v>
      </c>
    </row>
    <row r="6" spans="1:7" ht="15">
      <c r="A6">
        <v>4</v>
      </c>
      <c r="B6" t="s">
        <v>30</v>
      </c>
      <c r="F6" t="s">
        <v>5</v>
      </c>
      <c r="G6">
        <v>9.5</v>
      </c>
    </row>
    <row r="7" spans="1:7" ht="15">
      <c r="A7">
        <v>5</v>
      </c>
      <c r="B7" t="s">
        <v>0</v>
      </c>
      <c r="F7" t="s">
        <v>2</v>
      </c>
      <c r="G7">
        <v>2767.5</v>
      </c>
    </row>
    <row r="8" spans="1:7" ht="15">
      <c r="A8">
        <v>6</v>
      </c>
      <c r="B8" t="s">
        <v>31</v>
      </c>
      <c r="F8" t="s">
        <v>7</v>
      </c>
      <c r="G8">
        <v>8000</v>
      </c>
    </row>
    <row r="10" spans="1:10" ht="60">
      <c r="A10" s="40" t="s">
        <v>149</v>
      </c>
      <c r="B10" s="40" t="s">
        <v>326</v>
      </c>
      <c r="C10" s="40" t="s">
        <v>327</v>
      </c>
      <c r="D10" s="40" t="s">
        <v>317</v>
      </c>
      <c r="E10" s="40" t="s">
        <v>318</v>
      </c>
      <c r="F10" s="40" t="s">
        <v>319</v>
      </c>
      <c r="G10" s="40" t="s">
        <v>320</v>
      </c>
      <c r="H10" s="5"/>
      <c r="I10" s="5"/>
      <c r="J10" s="5"/>
    </row>
    <row r="11" spans="1:10" ht="15">
      <c r="A11">
        <v>1</v>
      </c>
      <c r="B11" s="5"/>
      <c r="C11" s="5"/>
      <c r="D11" s="5">
        <f>G39</f>
        <v>46337</v>
      </c>
      <c r="E11" s="5">
        <f>G20+G32</f>
        <v>103787.852</v>
      </c>
      <c r="F11" s="5">
        <f>G54</f>
        <v>14829</v>
      </c>
      <c r="G11" s="5">
        <f>G65</f>
        <v>42621.852</v>
      </c>
      <c r="H11" s="5"/>
      <c r="I11" s="5"/>
      <c r="J11" s="5"/>
    </row>
    <row r="12" spans="1:10" ht="15">
      <c r="A12">
        <v>2</v>
      </c>
      <c r="B12" s="5"/>
      <c r="C12" s="5"/>
      <c r="D12" s="5">
        <f aca="true" t="shared" si="0" ref="D12:D17">D11</f>
        <v>46337</v>
      </c>
      <c r="E12" s="5">
        <f aca="true" t="shared" si="1" ref="E12:G17">E11</f>
        <v>103787.852</v>
      </c>
      <c r="F12" s="5">
        <f t="shared" si="1"/>
        <v>14829</v>
      </c>
      <c r="G12" s="5">
        <f t="shared" si="1"/>
        <v>42621.852</v>
      </c>
      <c r="H12" s="5"/>
      <c r="I12" s="5"/>
      <c r="J12" s="5"/>
    </row>
    <row r="13" spans="1:10" ht="15">
      <c r="A13">
        <v>3</v>
      </c>
      <c r="B13" s="5"/>
      <c r="C13" s="5"/>
      <c r="D13" s="5">
        <f t="shared" si="0"/>
        <v>46337</v>
      </c>
      <c r="E13" s="5">
        <f t="shared" si="1"/>
        <v>103787.852</v>
      </c>
      <c r="F13" s="5">
        <f t="shared" si="1"/>
        <v>14829</v>
      </c>
      <c r="G13" s="5">
        <f t="shared" si="1"/>
        <v>42621.852</v>
      </c>
      <c r="H13" s="5"/>
      <c r="I13" s="5"/>
      <c r="J13" s="5"/>
    </row>
    <row r="14" spans="1:10" ht="15">
      <c r="A14">
        <v>4</v>
      </c>
      <c r="B14" s="5"/>
      <c r="C14" s="5"/>
      <c r="D14" s="5">
        <f t="shared" si="0"/>
        <v>46337</v>
      </c>
      <c r="E14" s="5">
        <f t="shared" si="1"/>
        <v>103787.852</v>
      </c>
      <c r="F14" s="5">
        <f t="shared" si="1"/>
        <v>14829</v>
      </c>
      <c r="G14" s="5">
        <f t="shared" si="1"/>
        <v>42621.852</v>
      </c>
      <c r="H14" s="5"/>
      <c r="I14" s="5"/>
      <c r="J14" s="5"/>
    </row>
    <row r="15" spans="1:10" ht="15">
      <c r="A15">
        <v>5</v>
      </c>
      <c r="B15" s="5"/>
      <c r="C15" s="5"/>
      <c r="D15" s="5">
        <f t="shared" si="0"/>
        <v>46337</v>
      </c>
      <c r="E15" s="5">
        <f t="shared" si="1"/>
        <v>103787.852</v>
      </c>
      <c r="F15" s="5">
        <f t="shared" si="1"/>
        <v>14829</v>
      </c>
      <c r="G15" s="5">
        <f t="shared" si="1"/>
        <v>42621.852</v>
      </c>
      <c r="H15" s="5"/>
      <c r="I15" s="5"/>
      <c r="J15" s="5"/>
    </row>
    <row r="16" spans="1:10" ht="15">
      <c r="A16">
        <v>6</v>
      </c>
      <c r="B16" s="5"/>
      <c r="C16" s="5"/>
      <c r="D16" s="5">
        <f t="shared" si="0"/>
        <v>46337</v>
      </c>
      <c r="E16" s="5">
        <f t="shared" si="1"/>
        <v>103787.852</v>
      </c>
      <c r="F16" s="5">
        <f t="shared" si="1"/>
        <v>14829</v>
      </c>
      <c r="G16" s="5">
        <f t="shared" si="1"/>
        <v>42621.852</v>
      </c>
      <c r="H16" s="5"/>
      <c r="I16" s="5"/>
      <c r="J16" s="5"/>
    </row>
    <row r="17" spans="1:10" ht="15">
      <c r="A17">
        <v>7</v>
      </c>
      <c r="B17" s="5"/>
      <c r="C17" s="5"/>
      <c r="D17" s="5">
        <f t="shared" si="0"/>
        <v>46337</v>
      </c>
      <c r="E17" s="5">
        <f t="shared" si="1"/>
        <v>103787.852</v>
      </c>
      <c r="F17" s="5">
        <f t="shared" si="1"/>
        <v>14829</v>
      </c>
      <c r="G17" s="5">
        <f t="shared" si="1"/>
        <v>42621.852</v>
      </c>
      <c r="H17" s="5"/>
      <c r="I17" s="5"/>
      <c r="J17" s="5"/>
    </row>
    <row r="18" spans="1:10" ht="15">
      <c r="A18" t="s">
        <v>21</v>
      </c>
      <c r="B18" s="5"/>
      <c r="C18" s="5"/>
      <c r="D18" s="5">
        <f>SUM(D11:D17)</f>
        <v>324359</v>
      </c>
      <c r="E18" s="5">
        <f>SUM(E11:E17)</f>
        <v>726514.9639999999</v>
      </c>
      <c r="F18" s="5">
        <f>SUM(F11:F17)</f>
        <v>103803</v>
      </c>
      <c r="G18" s="5">
        <f>SUM(G11:G17)</f>
        <v>298352.96400000004</v>
      </c>
      <c r="H18" s="5"/>
      <c r="I18" s="5"/>
      <c r="J18" s="5"/>
    </row>
    <row r="19" ht="15">
      <c r="A19" s="3" t="s">
        <v>32</v>
      </c>
    </row>
    <row r="20" spans="1:7" ht="15">
      <c r="A20" s="7" t="s">
        <v>33</v>
      </c>
      <c r="B20" s="7"/>
      <c r="C20" s="7"/>
      <c r="D20" s="7"/>
      <c r="E20" s="7"/>
      <c r="F20" s="7" t="s">
        <v>96</v>
      </c>
      <c r="G20" s="8">
        <f>G31</f>
        <v>18146</v>
      </c>
    </row>
    <row r="21" spans="1:7" ht="15" outlineLevel="1">
      <c r="A21" s="3"/>
      <c r="B21" s="3"/>
      <c r="C21" s="3"/>
      <c r="D21" s="3"/>
      <c r="E21" s="3"/>
      <c r="F21" s="3" t="s">
        <v>26</v>
      </c>
      <c r="G21" s="3" t="s">
        <v>3</v>
      </c>
    </row>
    <row r="22" spans="1:7" ht="15" outlineLevel="1">
      <c r="A22" t="s">
        <v>195</v>
      </c>
      <c r="B22" t="s">
        <v>36</v>
      </c>
      <c r="F22" t="s">
        <v>8</v>
      </c>
      <c r="G22">
        <f>G7*G6*G8/10^6</f>
        <v>210.33</v>
      </c>
    </row>
    <row r="23" spans="1:7" ht="15" outlineLevel="1">
      <c r="A23" t="s">
        <v>37</v>
      </c>
      <c r="B23" t="s">
        <v>38</v>
      </c>
      <c r="F23" t="s">
        <v>10</v>
      </c>
      <c r="G23">
        <v>0.9</v>
      </c>
    </row>
    <row r="24" spans="1:7" ht="15" outlineLevel="1">
      <c r="A24" t="s">
        <v>34</v>
      </c>
      <c r="B24" t="s">
        <v>35</v>
      </c>
      <c r="F24" t="s">
        <v>8</v>
      </c>
      <c r="G24" s="15">
        <f>G22/G23</f>
        <v>233.70000000000002</v>
      </c>
    </row>
    <row r="25" spans="1:7" ht="15" outlineLevel="1">
      <c r="A25" t="s">
        <v>109</v>
      </c>
      <c r="B25" t="s">
        <v>39</v>
      </c>
      <c r="F25" t="s">
        <v>42</v>
      </c>
      <c r="G25">
        <v>77.4</v>
      </c>
    </row>
    <row r="26" spans="1:7" ht="15" outlineLevel="1">
      <c r="A26" t="s">
        <v>110</v>
      </c>
      <c r="B26" t="s">
        <v>40</v>
      </c>
      <c r="F26" t="s">
        <v>43</v>
      </c>
      <c r="G26">
        <f>3/1000</f>
        <v>0.003</v>
      </c>
    </row>
    <row r="27" spans="1:7" ht="15" outlineLevel="1">
      <c r="A27" t="s">
        <v>111</v>
      </c>
      <c r="B27" t="s">
        <v>41</v>
      </c>
      <c r="F27" t="s">
        <v>44</v>
      </c>
      <c r="G27">
        <f>0.6/1000</f>
        <v>0.0006</v>
      </c>
    </row>
    <row r="28" spans="1:7" ht="15" outlineLevel="1">
      <c r="A28" t="s">
        <v>45</v>
      </c>
      <c r="B28" t="s">
        <v>48</v>
      </c>
      <c r="F28" t="s">
        <v>51</v>
      </c>
      <c r="G28">
        <v>1</v>
      </c>
    </row>
    <row r="29" spans="1:7" ht="15" outlineLevel="1">
      <c r="A29" t="s">
        <v>46</v>
      </c>
      <c r="B29" t="s">
        <v>49</v>
      </c>
      <c r="F29" t="s">
        <v>52</v>
      </c>
      <c r="G29">
        <v>21</v>
      </c>
    </row>
    <row r="30" spans="1:7" ht="15" outlineLevel="1">
      <c r="A30" t="s">
        <v>47</v>
      </c>
      <c r="B30" t="s">
        <v>50</v>
      </c>
      <c r="F30" t="s">
        <v>53</v>
      </c>
      <c r="G30">
        <v>310</v>
      </c>
    </row>
    <row r="31" spans="1:7" ht="15" outlineLevel="1">
      <c r="A31" t="s">
        <v>158</v>
      </c>
      <c r="B31" t="s">
        <v>54</v>
      </c>
      <c r="F31" t="s">
        <v>96</v>
      </c>
      <c r="G31">
        <f>ROUNDDOWN(G24*(G25*G28+G26*G29+G27*G30),0)</f>
        <v>18146</v>
      </c>
    </row>
    <row r="32" spans="1:7" ht="15">
      <c r="A32" s="7" t="s">
        <v>97</v>
      </c>
      <c r="B32" s="7"/>
      <c r="C32" s="7"/>
      <c r="D32" s="7"/>
      <c r="E32" s="7"/>
      <c r="F32" s="7" t="s">
        <v>96</v>
      </c>
      <c r="G32" s="8">
        <f>G36</f>
        <v>85641.852</v>
      </c>
    </row>
    <row r="33" spans="1:7" ht="15" outlineLevel="1">
      <c r="A33" s="3"/>
      <c r="B33" s="3"/>
      <c r="C33" s="3"/>
      <c r="D33" s="3"/>
      <c r="E33" s="3"/>
      <c r="F33" s="3" t="s">
        <v>26</v>
      </c>
      <c r="G33" s="3" t="s">
        <v>3</v>
      </c>
    </row>
    <row r="34" spans="1:7" ht="15" outlineLevel="1">
      <c r="A34" t="s">
        <v>98</v>
      </c>
      <c r="B34" t="s">
        <v>99</v>
      </c>
      <c r="F34" t="s">
        <v>95</v>
      </c>
      <c r="G34" s="5">
        <f>ROUNDDOWN(G5*G8,0)</f>
        <v>95052</v>
      </c>
    </row>
    <row r="35" spans="1:7" ht="15" outlineLevel="1">
      <c r="A35" t="s">
        <v>100</v>
      </c>
      <c r="B35" t="s">
        <v>101</v>
      </c>
      <c r="F35" t="s">
        <v>102</v>
      </c>
      <c r="G35" s="160">
        <f>ROUNDDOWN('GRID-EF'!F94,3)</f>
        <v>0.901</v>
      </c>
    </row>
    <row r="36" spans="1:8" ht="15" outlineLevel="1">
      <c r="A36" t="s">
        <v>103</v>
      </c>
      <c r="B36" t="s">
        <v>104</v>
      </c>
      <c r="F36" t="s">
        <v>96</v>
      </c>
      <c r="G36" s="6">
        <f>G34*G35</f>
        <v>85641.852</v>
      </c>
      <c r="H36" s="16"/>
    </row>
    <row r="38" ht="15">
      <c r="A38" s="3" t="s">
        <v>105</v>
      </c>
    </row>
    <row r="39" spans="1:7" ht="15">
      <c r="A39" s="7" t="s">
        <v>119</v>
      </c>
      <c r="B39" s="7"/>
      <c r="C39" s="7"/>
      <c r="D39" s="7"/>
      <c r="E39" s="7"/>
      <c r="F39" s="7" t="s">
        <v>96</v>
      </c>
      <c r="G39" s="8">
        <f>G51</f>
        <v>46337</v>
      </c>
    </row>
    <row r="40" spans="6:7" ht="15" outlineLevel="1">
      <c r="F40" s="3" t="s">
        <v>26</v>
      </c>
      <c r="G40" s="3" t="s">
        <v>3</v>
      </c>
    </row>
    <row r="41" spans="1:7" ht="15" outlineLevel="1">
      <c r="A41" t="s">
        <v>106</v>
      </c>
      <c r="B41" t="s">
        <v>107</v>
      </c>
      <c r="F41" t="s">
        <v>118</v>
      </c>
      <c r="G41" s="6">
        <f>614*5*G8</f>
        <v>24560000</v>
      </c>
    </row>
    <row r="42" spans="1:8" ht="15" outlineLevel="1">
      <c r="A42" t="s">
        <v>390</v>
      </c>
      <c r="B42" t="s">
        <v>391</v>
      </c>
      <c r="F42" t="s">
        <v>83</v>
      </c>
      <c r="G42" s="169">
        <v>0.7</v>
      </c>
      <c r="H42" s="4"/>
    </row>
    <row r="43" spans="1:8" ht="15" outlineLevel="1">
      <c r="A43" t="s">
        <v>108</v>
      </c>
      <c r="B43" t="s">
        <v>321</v>
      </c>
      <c r="F43" t="s">
        <v>322</v>
      </c>
      <c r="G43" s="39">
        <f>48/(1000*1000)</f>
        <v>4.8E-05</v>
      </c>
      <c r="H43" s="41"/>
    </row>
    <row r="44" spans="1:8" ht="15" outlineLevel="1">
      <c r="A44" t="s">
        <v>324</v>
      </c>
      <c r="B44" t="s">
        <v>325</v>
      </c>
      <c r="F44" t="s">
        <v>8</v>
      </c>
      <c r="G44" s="2">
        <f>G43*G42*G41</f>
        <v>825.2159999999999</v>
      </c>
      <c r="H44" s="41"/>
    </row>
    <row r="45" spans="1:7" ht="15" outlineLevel="1">
      <c r="A45" t="s">
        <v>112</v>
      </c>
      <c r="B45" t="s">
        <v>115</v>
      </c>
      <c r="F45" t="s">
        <v>42</v>
      </c>
      <c r="G45">
        <v>56.1</v>
      </c>
    </row>
    <row r="46" spans="1:7" ht="15" outlineLevel="1">
      <c r="A46" t="s">
        <v>113</v>
      </c>
      <c r="B46" t="s">
        <v>116</v>
      </c>
      <c r="F46" t="s">
        <v>43</v>
      </c>
      <c r="G46">
        <f>1/1000</f>
        <v>0.001</v>
      </c>
    </row>
    <row r="47" spans="1:7" ht="15" outlineLevel="1">
      <c r="A47" t="s">
        <v>114</v>
      </c>
      <c r="B47" t="s">
        <v>117</v>
      </c>
      <c r="F47" t="s">
        <v>44</v>
      </c>
      <c r="G47">
        <f>0.1/1000</f>
        <v>0.0001</v>
      </c>
    </row>
    <row r="48" spans="1:7" ht="15" outlineLevel="1">
      <c r="A48" t="s">
        <v>45</v>
      </c>
      <c r="B48" t="s">
        <v>48</v>
      </c>
      <c r="F48" t="s">
        <v>51</v>
      </c>
      <c r="G48">
        <v>1</v>
      </c>
    </row>
    <row r="49" spans="1:7" ht="15" outlineLevel="1">
      <c r="A49" t="s">
        <v>46</v>
      </c>
      <c r="B49" t="s">
        <v>49</v>
      </c>
      <c r="F49" t="s">
        <v>52</v>
      </c>
      <c r="G49">
        <v>21</v>
      </c>
    </row>
    <row r="50" spans="1:7" ht="15" outlineLevel="1">
      <c r="A50" t="s">
        <v>47</v>
      </c>
      <c r="B50" t="s">
        <v>50</v>
      </c>
      <c r="F50" t="s">
        <v>53</v>
      </c>
      <c r="G50">
        <v>310</v>
      </c>
    </row>
    <row r="51" spans="1:7" ht="15" outlineLevel="1">
      <c r="A51" t="s">
        <v>120</v>
      </c>
      <c r="B51" t="s">
        <v>121</v>
      </c>
      <c r="F51" t="s">
        <v>96</v>
      </c>
      <c r="G51" s="5">
        <f>ROUNDDOWN(G44*(G45*G48+G46*G49+G47*G50),0)</f>
        <v>46337</v>
      </c>
    </row>
    <row r="52" ht="15">
      <c r="G52" s="4"/>
    </row>
    <row r="53" spans="1:5" ht="15">
      <c r="A53" s="3" t="s">
        <v>122</v>
      </c>
      <c r="B53" s="3"/>
      <c r="C53" s="3"/>
      <c r="D53" s="3"/>
      <c r="E53" s="3"/>
    </row>
    <row r="54" spans="1:7" ht="15">
      <c r="A54" s="7" t="s">
        <v>132</v>
      </c>
      <c r="B54" s="7"/>
      <c r="C54" s="7"/>
      <c r="D54" s="7"/>
      <c r="E54" s="7"/>
      <c r="F54" s="7" t="str">
        <f>F63</f>
        <v>t-CO2/yr</v>
      </c>
      <c r="G54" s="9">
        <f>G63</f>
        <v>14829</v>
      </c>
    </row>
    <row r="55" spans="6:7" ht="15" outlineLevel="1">
      <c r="F55" s="3" t="s">
        <v>26</v>
      </c>
      <c r="G55" s="3" t="s">
        <v>3</v>
      </c>
    </row>
    <row r="56" spans="1:7" ht="15" outlineLevel="1">
      <c r="A56" t="s">
        <v>123</v>
      </c>
      <c r="F56" t="s">
        <v>131</v>
      </c>
      <c r="G56">
        <f>SUM(G57:G60)</f>
        <v>0.0287518</v>
      </c>
    </row>
    <row r="57" spans="2:8" ht="15" outlineLevel="2">
      <c r="B57" t="s">
        <v>124</v>
      </c>
      <c r="F57" t="s">
        <v>131</v>
      </c>
      <c r="G57">
        <f>2.4*10^-2+1*10^-6</f>
        <v>0.024001</v>
      </c>
      <c r="H57" s="5"/>
    </row>
    <row r="58" spans="2:7" ht="15" outlineLevel="2">
      <c r="B58" t="s">
        <v>388</v>
      </c>
      <c r="F58" t="s">
        <v>131</v>
      </c>
      <c r="G58">
        <f>3.5*10^-4+2.8*10^-6</f>
        <v>0.0003528</v>
      </c>
    </row>
    <row r="59" spans="2:7" ht="15" outlineLevel="2">
      <c r="B59" t="s">
        <v>126</v>
      </c>
      <c r="F59" t="s">
        <v>131</v>
      </c>
      <c r="G59">
        <f>1.1*10^-3+7.4*10^-4+5.8*10^-5</f>
        <v>0.001898</v>
      </c>
    </row>
    <row r="60" spans="2:7" ht="15" outlineLevel="2">
      <c r="B60" t="s">
        <v>127</v>
      </c>
      <c r="F60" t="s">
        <v>131</v>
      </c>
      <c r="G60">
        <f>2.5*10^-3</f>
        <v>0.0025</v>
      </c>
    </row>
    <row r="61" spans="1:7" ht="15" outlineLevel="1">
      <c r="A61" t="s">
        <v>106</v>
      </c>
      <c r="B61" t="s">
        <v>128</v>
      </c>
      <c r="F61" t="s">
        <v>118</v>
      </c>
      <c r="G61" s="6">
        <f>G41</f>
        <v>24560000</v>
      </c>
    </row>
    <row r="62" spans="1:7" ht="15" outlineLevel="1">
      <c r="A62" t="s">
        <v>46</v>
      </c>
      <c r="B62" t="s">
        <v>49</v>
      </c>
      <c r="F62" t="s">
        <v>52</v>
      </c>
      <c r="G62">
        <v>21</v>
      </c>
    </row>
    <row r="63" spans="1:7" ht="15" outlineLevel="1">
      <c r="A63" t="s">
        <v>129</v>
      </c>
      <c r="B63" t="s">
        <v>130</v>
      </c>
      <c r="F63" t="s">
        <v>96</v>
      </c>
      <c r="G63" s="6">
        <f>ROUNDDOWN(G56*1000*G61/10^6*G62,0)</f>
        <v>14829</v>
      </c>
    </row>
    <row r="65" spans="1:8" ht="15">
      <c r="A65" s="13" t="s">
        <v>133</v>
      </c>
      <c r="B65" s="13"/>
      <c r="C65" s="13"/>
      <c r="D65" s="13"/>
      <c r="E65" s="13"/>
      <c r="F65" s="13"/>
      <c r="G65" s="14">
        <f>SUM(G20+G32)-G39-G54</f>
        <v>42621.852</v>
      </c>
      <c r="H65" s="5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3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21.421875" style="0" customWidth="1"/>
    <col min="2" max="2" width="14.421875" style="0" customWidth="1"/>
    <col min="3" max="3" width="16.7109375" style="0" bestFit="1" customWidth="1"/>
    <col min="4" max="4" width="12.8515625" style="0" customWidth="1"/>
    <col min="5" max="5" width="16.8515625" style="0" customWidth="1"/>
    <col min="6" max="6" width="14.7109375" style="0" customWidth="1"/>
    <col min="7" max="10" width="13.7109375" style="0" customWidth="1"/>
    <col min="11" max="11" width="16.7109375" style="0" customWidth="1"/>
    <col min="12" max="12" width="15.7109375" style="0" customWidth="1"/>
    <col min="13" max="16384" width="9.140625" style="0" customWidth="1"/>
  </cols>
  <sheetData>
    <row r="1" spans="7:10" ht="15">
      <c r="G1" s="3"/>
      <c r="H1" s="3"/>
      <c r="I1" s="3"/>
      <c r="J1" s="3"/>
    </row>
    <row r="2" spans="1:10" ht="15">
      <c r="A2" s="57" t="s">
        <v>148</v>
      </c>
      <c r="B2" s="17"/>
      <c r="C2" s="17"/>
      <c r="D2" s="17"/>
      <c r="E2" s="17"/>
      <c r="F2" s="17"/>
      <c r="G2" s="57" t="s">
        <v>363</v>
      </c>
      <c r="H2" s="57"/>
      <c r="I2" s="57"/>
      <c r="J2" s="57" t="s">
        <v>364</v>
      </c>
    </row>
    <row r="3" spans="1:10" ht="15">
      <c r="A3" s="17" t="s">
        <v>134</v>
      </c>
      <c r="B3" s="17"/>
      <c r="C3" s="17"/>
      <c r="D3" s="17"/>
      <c r="E3" s="49">
        <v>12499720</v>
      </c>
      <c r="F3" s="17"/>
      <c r="G3" s="17" t="s">
        <v>372</v>
      </c>
      <c r="H3" s="17"/>
      <c r="I3" s="17"/>
      <c r="J3" s="64">
        <f>'FSA-0'!H4</f>
        <v>0.1520322028384355</v>
      </c>
    </row>
    <row r="4" spans="1:10" ht="15">
      <c r="A4" s="17" t="s">
        <v>135</v>
      </c>
      <c r="B4" s="17"/>
      <c r="C4" s="17"/>
      <c r="D4" s="17"/>
      <c r="E4" s="17"/>
      <c r="F4" s="17"/>
      <c r="G4" s="17" t="s">
        <v>196</v>
      </c>
      <c r="H4" s="17"/>
      <c r="I4" s="17"/>
      <c r="J4" s="65">
        <f>'FSA-1'!I4</f>
        <v>0.14727812496820752</v>
      </c>
    </row>
    <row r="5" spans="1:10" ht="15">
      <c r="A5" s="17" t="s">
        <v>136</v>
      </c>
      <c r="B5" s="17"/>
      <c r="C5" s="17"/>
      <c r="D5" s="17" t="s">
        <v>137</v>
      </c>
      <c r="E5" s="66">
        <v>9500</v>
      </c>
      <c r="F5" s="17"/>
      <c r="G5" s="17" t="s">
        <v>194</v>
      </c>
      <c r="H5" s="17"/>
      <c r="I5" s="17"/>
      <c r="J5" s="64">
        <f>'FSA-2'!I4</f>
        <v>0.11132302920160868</v>
      </c>
    </row>
    <row r="6" spans="1:10" ht="15">
      <c r="A6" s="17" t="s">
        <v>139</v>
      </c>
      <c r="B6" s="17"/>
      <c r="C6" s="17"/>
      <c r="D6" s="67" t="s">
        <v>140</v>
      </c>
      <c r="E6" s="68">
        <v>5</v>
      </c>
      <c r="F6" s="17"/>
      <c r="G6" s="17" t="s">
        <v>323</v>
      </c>
      <c r="H6" s="17"/>
      <c r="I6" s="17"/>
      <c r="J6" s="64">
        <f>'FSA-3'!I4</f>
        <v>0.15158487582537553</v>
      </c>
    </row>
    <row r="7" spans="1:10" ht="15">
      <c r="A7" s="17" t="s">
        <v>138</v>
      </c>
      <c r="B7" s="17"/>
      <c r="C7" s="17"/>
      <c r="D7" s="67" t="s">
        <v>141</v>
      </c>
      <c r="E7" s="69">
        <f>E6/1054*10^6</f>
        <v>4743.833017077799</v>
      </c>
      <c r="F7" s="17"/>
      <c r="G7" s="57" t="s">
        <v>365</v>
      </c>
      <c r="H7" s="17"/>
      <c r="I7" s="17"/>
      <c r="J7" s="17"/>
    </row>
    <row r="8" spans="1:10" ht="15">
      <c r="A8" s="17" t="s">
        <v>142</v>
      </c>
      <c r="B8" s="17"/>
      <c r="C8" s="17"/>
      <c r="D8" s="67" t="s">
        <v>143</v>
      </c>
      <c r="E8" s="68">
        <f>60*1000/E5</f>
        <v>6.315789473684211</v>
      </c>
      <c r="F8" s="17"/>
      <c r="G8" s="17" t="s">
        <v>368</v>
      </c>
      <c r="H8" s="17"/>
      <c r="I8" s="17"/>
      <c r="J8" s="64">
        <v>0.1275</v>
      </c>
    </row>
    <row r="9" spans="1:10" ht="15">
      <c r="A9" s="17" t="s">
        <v>145</v>
      </c>
      <c r="B9" s="17"/>
      <c r="C9" s="17"/>
      <c r="D9" s="67" t="s">
        <v>144</v>
      </c>
      <c r="E9" s="70">
        <f>680.94/E5</f>
        <v>0.07167789473684211</v>
      </c>
      <c r="F9" s="17"/>
      <c r="G9" s="17" t="s">
        <v>366</v>
      </c>
      <c r="H9" s="17"/>
      <c r="I9" s="17"/>
      <c r="J9" s="64">
        <v>0.04</v>
      </c>
    </row>
    <row r="10" spans="1:10" ht="15">
      <c r="A10" s="17" t="s">
        <v>146</v>
      </c>
      <c r="B10" s="17"/>
      <c r="C10" s="17"/>
      <c r="D10" s="67" t="s">
        <v>144</v>
      </c>
      <c r="E10" s="70">
        <f>E9*0.97</f>
        <v>0.06952755789473684</v>
      </c>
      <c r="F10" s="17"/>
      <c r="G10" s="17" t="s">
        <v>367</v>
      </c>
      <c r="H10" s="17"/>
      <c r="I10" s="17"/>
      <c r="J10" s="64">
        <f>J8+J9</f>
        <v>0.1675</v>
      </c>
    </row>
    <row r="11" spans="1:10" ht="15">
      <c r="A11" s="17" t="s">
        <v>156</v>
      </c>
      <c r="B11" s="17"/>
      <c r="C11" s="17"/>
      <c r="D11" s="67"/>
      <c r="E11" s="71">
        <v>12</v>
      </c>
      <c r="F11" s="17"/>
      <c r="G11" s="17" t="s">
        <v>389</v>
      </c>
      <c r="H11" s="17"/>
      <c r="I11" s="17"/>
      <c r="J11" s="64">
        <f>J10+0.03</f>
        <v>0.1975</v>
      </c>
    </row>
    <row r="13" spans="1:12" ht="15">
      <c r="A13" s="88" t="s">
        <v>147</v>
      </c>
      <c r="B13" s="174" t="s">
        <v>150</v>
      </c>
      <c r="C13" s="170" t="s">
        <v>151</v>
      </c>
      <c r="D13" s="170"/>
      <c r="E13" s="171"/>
      <c r="F13" s="170" t="s">
        <v>356</v>
      </c>
      <c r="G13" s="170"/>
      <c r="H13" s="170"/>
      <c r="I13" s="171"/>
      <c r="J13" s="172" t="s">
        <v>361</v>
      </c>
      <c r="K13" s="176" t="s">
        <v>370</v>
      </c>
      <c r="L13" s="177"/>
    </row>
    <row r="14" spans="1:12" ht="31.5" customHeight="1">
      <c r="A14" s="89" t="s">
        <v>154</v>
      </c>
      <c r="B14" s="175"/>
      <c r="C14" s="48">
        <v>0.025</v>
      </c>
      <c r="D14" s="48">
        <v>0.05</v>
      </c>
      <c r="E14" s="78"/>
      <c r="F14" s="50">
        <v>0.07</v>
      </c>
      <c r="G14" s="51">
        <v>0</v>
      </c>
      <c r="H14" s="51">
        <v>0</v>
      </c>
      <c r="I14" s="82"/>
      <c r="J14" s="173"/>
      <c r="K14" s="178"/>
      <c r="L14" s="179"/>
    </row>
    <row r="15" spans="1:12" ht="30">
      <c r="A15" s="90" t="s">
        <v>149</v>
      </c>
      <c r="B15" s="175"/>
      <c r="C15" s="53" t="s">
        <v>152</v>
      </c>
      <c r="D15" s="72" t="s">
        <v>153</v>
      </c>
      <c r="E15" s="79" t="s">
        <v>359</v>
      </c>
      <c r="F15" s="53" t="s">
        <v>125</v>
      </c>
      <c r="G15" s="53" t="s">
        <v>357</v>
      </c>
      <c r="H15" s="100" t="s">
        <v>358</v>
      </c>
      <c r="I15" s="72" t="s">
        <v>360</v>
      </c>
      <c r="J15" s="173"/>
      <c r="K15" s="56" t="s">
        <v>155</v>
      </c>
      <c r="L15" s="85" t="s">
        <v>371</v>
      </c>
    </row>
    <row r="16" spans="1:12" ht="15">
      <c r="A16" s="91">
        <v>0</v>
      </c>
      <c r="B16" s="75">
        <f>-E3</f>
        <v>-12499720</v>
      </c>
      <c r="C16" s="58">
        <v>0</v>
      </c>
      <c r="D16" s="97">
        <v>0</v>
      </c>
      <c r="E16" s="78">
        <v>0</v>
      </c>
      <c r="F16" s="58">
        <v>0</v>
      </c>
      <c r="G16" s="58">
        <v>0</v>
      </c>
      <c r="H16" s="97">
        <v>0</v>
      </c>
      <c r="I16" s="97">
        <v>0</v>
      </c>
      <c r="J16" s="75">
        <f>B16+E16+I16</f>
        <v>-12499720</v>
      </c>
      <c r="K16" s="52">
        <v>0</v>
      </c>
      <c r="L16" s="84">
        <f>J16+K16</f>
        <v>-12499720</v>
      </c>
    </row>
    <row r="17" spans="1:12" ht="15">
      <c r="A17" s="92">
        <v>1</v>
      </c>
      <c r="B17" s="76">
        <v>0</v>
      </c>
      <c r="C17" s="55">
        <f>EMISSION!G6*FINANCE!E8*EMISSION!G8</f>
        <v>480000</v>
      </c>
      <c r="D17" s="99">
        <f>EMISSION!G5*EMISSION!G8*FINANCE!E10*10^3</f>
        <v>6608750.11962442</v>
      </c>
      <c r="E17" s="96">
        <f>C17+D17</f>
        <v>7088750.11962442</v>
      </c>
      <c r="F17" s="55">
        <f>-EMISSION!G$41*EMISSION!$G$42*EMISSION!G$43*E$7</f>
        <v>-3914686.907020873</v>
      </c>
      <c r="G17" s="59">
        <f>-(4798069-741396-3109822)*12/8</f>
        <v>-1420276.5</v>
      </c>
      <c r="H17" s="96">
        <f>-(138691-40624)*12/8</f>
        <v>-147100.5</v>
      </c>
      <c r="I17" s="96">
        <f>F17+G17+H17</f>
        <v>-5482063.907020872</v>
      </c>
      <c r="J17" s="76">
        <f aca="true" t="shared" si="0" ref="J17:J26">B17+E17+I17</f>
        <v>1606686.2126035476</v>
      </c>
      <c r="K17" s="60">
        <f>FINANCE!E11*EMISSION!G65</f>
        <v>511462.224</v>
      </c>
      <c r="L17" s="86">
        <f aca="true" t="shared" si="1" ref="L17:L26">J17+K17</f>
        <v>2118148.4366035475</v>
      </c>
    </row>
    <row r="18" spans="1:12" ht="15">
      <c r="A18" s="91">
        <v>2</v>
      </c>
      <c r="B18" s="75">
        <v>0</v>
      </c>
      <c r="C18" s="58">
        <f>C17*(1+$C$14)</f>
        <v>491999.99999999994</v>
      </c>
      <c r="D18" s="97">
        <f>D17*(1+$D$14)</f>
        <v>6939187.625605641</v>
      </c>
      <c r="E18" s="78">
        <f aca="true" t="shared" si="2" ref="E18:E26">C18+D18</f>
        <v>7431187.625605641</v>
      </c>
      <c r="F18" s="58">
        <f>-EMISSION!G$41*EMISSION!$G$42*EMISSION!G$43*E$7</f>
        <v>-3914686.907020873</v>
      </c>
      <c r="G18" s="49">
        <f>-(7186840-1112094-4664733)</f>
        <v>-1410013</v>
      </c>
      <c r="H18" s="78">
        <f>-123996</f>
        <v>-123996</v>
      </c>
      <c r="I18" s="78">
        <f aca="true" t="shared" si="3" ref="I18:I26">F18+G18+H18</f>
        <v>-5448695.907020872</v>
      </c>
      <c r="J18" s="75">
        <f t="shared" si="0"/>
        <v>1982491.7185847685</v>
      </c>
      <c r="K18" s="52">
        <f>K17</f>
        <v>511462.224</v>
      </c>
      <c r="L18" s="84">
        <f t="shared" si="1"/>
        <v>2493953.9425847684</v>
      </c>
    </row>
    <row r="19" spans="1:12" ht="15">
      <c r="A19" s="93">
        <v>3</v>
      </c>
      <c r="B19" s="76">
        <v>0</v>
      </c>
      <c r="C19" s="55">
        <f aca="true" t="shared" si="4" ref="C19:C25">C18*(1+$C$14)</f>
        <v>504299.9999999999</v>
      </c>
      <c r="D19" s="99">
        <f aca="true" t="shared" si="5" ref="D19:D25">D18*(1+$D$14)</f>
        <v>7286147.006885923</v>
      </c>
      <c r="E19" s="96">
        <f t="shared" si="2"/>
        <v>7790447.006885923</v>
      </c>
      <c r="F19" s="55">
        <f>-EMISSION!G$41*EMISSION!G42*EMISSION!G$43*E$7*(1+F$14)</f>
        <v>-4188714.9905123343</v>
      </c>
      <c r="G19" s="59">
        <f>-(7191459-1112094-4664733)</f>
        <v>-1414632</v>
      </c>
      <c r="H19" s="96">
        <f>-135075</f>
        <v>-135075</v>
      </c>
      <c r="I19" s="96">
        <f t="shared" si="3"/>
        <v>-5738421.990512334</v>
      </c>
      <c r="J19" s="76">
        <f t="shared" si="0"/>
        <v>2052025.0163735896</v>
      </c>
      <c r="K19" s="60">
        <f aca="true" t="shared" si="6" ref="K19:K26">K18</f>
        <v>511462.224</v>
      </c>
      <c r="L19" s="86">
        <f t="shared" si="1"/>
        <v>2563487.2403735896</v>
      </c>
    </row>
    <row r="20" spans="1:12" ht="15">
      <c r="A20" s="91">
        <v>4</v>
      </c>
      <c r="B20" s="75">
        <v>0</v>
      </c>
      <c r="C20" s="58">
        <f t="shared" si="4"/>
        <v>516907.4999999998</v>
      </c>
      <c r="D20" s="97">
        <f t="shared" si="5"/>
        <v>7650454.35723022</v>
      </c>
      <c r="E20" s="78">
        <f t="shared" si="2"/>
        <v>8167361.85723022</v>
      </c>
      <c r="F20" s="58">
        <f aca="true" t="shared" si="7" ref="F20:F25">F19*(1+F$14)</f>
        <v>-4481925.039848198</v>
      </c>
      <c r="G20" s="49">
        <f>-(7663789-1112094-5131206)</f>
        <v>-1420489</v>
      </c>
      <c r="H20" s="78">
        <f>-147196</f>
        <v>-147196</v>
      </c>
      <c r="I20" s="78">
        <f t="shared" si="3"/>
        <v>-6049610.039848198</v>
      </c>
      <c r="J20" s="75">
        <f t="shared" si="0"/>
        <v>2117751.817382022</v>
      </c>
      <c r="K20" s="52">
        <f t="shared" si="6"/>
        <v>511462.224</v>
      </c>
      <c r="L20" s="84">
        <f t="shared" si="1"/>
        <v>2629214.0413820217</v>
      </c>
    </row>
    <row r="21" spans="1:12" ht="15">
      <c r="A21" s="93">
        <v>5</v>
      </c>
      <c r="B21" s="76">
        <v>0</v>
      </c>
      <c r="C21" s="55">
        <f t="shared" si="4"/>
        <v>529830.1874999998</v>
      </c>
      <c r="D21" s="99">
        <f t="shared" si="5"/>
        <v>8032977.075091732</v>
      </c>
      <c r="E21" s="96">
        <f t="shared" si="2"/>
        <v>8562807.26259173</v>
      </c>
      <c r="F21" s="55">
        <f t="shared" si="7"/>
        <v>-4795659.792637573</v>
      </c>
      <c r="G21" s="59">
        <f>-(7671008-1112094-5131206)</f>
        <v>-1427708</v>
      </c>
      <c r="H21" s="96">
        <f>-160459</f>
        <v>-160459</v>
      </c>
      <c r="I21" s="96">
        <f t="shared" si="3"/>
        <v>-6383826.792637573</v>
      </c>
      <c r="J21" s="76">
        <f t="shared" si="0"/>
        <v>2178980.469954158</v>
      </c>
      <c r="K21" s="60">
        <f t="shared" si="6"/>
        <v>511462.224</v>
      </c>
      <c r="L21" s="86">
        <f t="shared" si="1"/>
        <v>2690442.693954158</v>
      </c>
    </row>
    <row r="22" spans="1:12" ht="15">
      <c r="A22" s="91">
        <v>6</v>
      </c>
      <c r="B22" s="75">
        <v>0</v>
      </c>
      <c r="C22" s="58">
        <f t="shared" si="4"/>
        <v>543075.9421874997</v>
      </c>
      <c r="D22" s="97">
        <f t="shared" si="5"/>
        <v>8434625.928846318</v>
      </c>
      <c r="E22" s="78">
        <f t="shared" si="2"/>
        <v>8977701.871033818</v>
      </c>
      <c r="F22" s="58">
        <f t="shared" si="7"/>
        <v>-5131355.978122203</v>
      </c>
      <c r="G22" s="49">
        <f>-(8141531-1112094-5593015)</f>
        <v>-1436422</v>
      </c>
      <c r="H22" s="78">
        <f>-174976</f>
        <v>-174976</v>
      </c>
      <c r="I22" s="78">
        <f t="shared" si="3"/>
        <v>-6742753.978122203</v>
      </c>
      <c r="J22" s="75">
        <f t="shared" si="0"/>
        <v>2234947.892911615</v>
      </c>
      <c r="K22" s="52">
        <f t="shared" si="6"/>
        <v>511462.224</v>
      </c>
      <c r="L22" s="84">
        <f t="shared" si="1"/>
        <v>2746410.116911615</v>
      </c>
    </row>
    <row r="23" spans="1:12" ht="15">
      <c r="A23" s="93">
        <v>7</v>
      </c>
      <c r="B23" s="76">
        <v>0</v>
      </c>
      <c r="C23" s="55">
        <f t="shared" si="4"/>
        <v>556652.8407421871</v>
      </c>
      <c r="D23" s="99">
        <f t="shared" si="5"/>
        <v>8856357.225288635</v>
      </c>
      <c r="E23" s="96">
        <f t="shared" si="2"/>
        <v>9413010.066030823</v>
      </c>
      <c r="F23" s="55">
        <f t="shared" si="7"/>
        <v>-5490550.896590757</v>
      </c>
      <c r="G23" s="59">
        <f>-(8627297-1112094-6068421)</f>
        <v>-1446782</v>
      </c>
      <c r="H23" s="96">
        <f>-190868</f>
        <v>-190868</v>
      </c>
      <c r="I23" s="96">
        <f t="shared" si="3"/>
        <v>-7128200.896590757</v>
      </c>
      <c r="J23" s="76">
        <f t="shared" si="0"/>
        <v>2284809.1694400655</v>
      </c>
      <c r="K23" s="60">
        <f t="shared" si="6"/>
        <v>511462.224</v>
      </c>
      <c r="L23" s="86">
        <f t="shared" si="1"/>
        <v>2796271.3934400654</v>
      </c>
    </row>
    <row r="24" spans="1:12" ht="15">
      <c r="A24" s="91">
        <v>8</v>
      </c>
      <c r="B24" s="75">
        <v>0</v>
      </c>
      <c r="C24" s="58">
        <f t="shared" si="4"/>
        <v>570569.1617607417</v>
      </c>
      <c r="D24" s="97">
        <f t="shared" si="5"/>
        <v>9299175.086553067</v>
      </c>
      <c r="E24" s="78">
        <f t="shared" si="2"/>
        <v>9869744.248313809</v>
      </c>
      <c r="F24" s="58">
        <f t="shared" si="7"/>
        <v>-5874889.4593521105</v>
      </c>
      <c r="G24" s="49">
        <f>-(8639464-1112094-6068421)</f>
        <v>-1458949</v>
      </c>
      <c r="H24" s="78">
        <f>-208269</f>
        <v>-208269</v>
      </c>
      <c r="I24" s="78">
        <f t="shared" si="3"/>
        <v>-7542107.4593521105</v>
      </c>
      <c r="J24" s="75">
        <f t="shared" si="0"/>
        <v>2327636.7889616983</v>
      </c>
      <c r="K24" s="52">
        <f t="shared" si="6"/>
        <v>511462.224</v>
      </c>
      <c r="L24" s="84">
        <f t="shared" si="1"/>
        <v>2839099.012961698</v>
      </c>
    </row>
    <row r="25" spans="1:12" ht="15">
      <c r="A25" s="93">
        <v>9</v>
      </c>
      <c r="B25" s="76">
        <v>0</v>
      </c>
      <c r="C25" s="55">
        <f t="shared" si="4"/>
        <v>584833.3908047603</v>
      </c>
      <c r="D25" s="99">
        <f t="shared" si="5"/>
        <v>9764133.84088072</v>
      </c>
      <c r="E25" s="96">
        <f t="shared" si="2"/>
        <v>10348967.23168548</v>
      </c>
      <c r="F25" s="55">
        <f t="shared" si="7"/>
        <v>-6286131.721506759</v>
      </c>
      <c r="G25" s="59">
        <f>-(9111785-1112094-6526587)</f>
        <v>-1473104</v>
      </c>
      <c r="H25" s="96">
        <f>-227326</f>
        <v>-227326</v>
      </c>
      <c r="I25" s="96">
        <f t="shared" si="3"/>
        <v>-7986561.721506759</v>
      </c>
      <c r="J25" s="76">
        <f t="shared" si="0"/>
        <v>2362405.5101787215</v>
      </c>
      <c r="K25" s="60">
        <f t="shared" si="6"/>
        <v>511462.224</v>
      </c>
      <c r="L25" s="86">
        <f t="shared" si="1"/>
        <v>2873867.7341787214</v>
      </c>
    </row>
    <row r="26" spans="1:12" ht="15">
      <c r="A26" s="94">
        <v>10</v>
      </c>
      <c r="B26" s="75">
        <v>0</v>
      </c>
      <c r="C26" s="58">
        <f>C25*(1+$C$14)</f>
        <v>599454.2255748792</v>
      </c>
      <c r="D26" s="97">
        <f>D25*(1+$D$14)</f>
        <v>10252340.532924756</v>
      </c>
      <c r="E26" s="78">
        <f t="shared" si="2"/>
        <v>10851794.758499635</v>
      </c>
      <c r="F26" s="58">
        <f>F25*(1+F$14)</f>
        <v>-6726160.942012232</v>
      </c>
      <c r="G26" s="49">
        <f>-(4564062-3263293-556047)*12/6</f>
        <v>-1489444</v>
      </c>
      <c r="H26" s="78">
        <f>-124100*12/6</f>
        <v>-248200</v>
      </c>
      <c r="I26" s="78">
        <f t="shared" si="3"/>
        <v>-8463804.942012232</v>
      </c>
      <c r="J26" s="75">
        <f t="shared" si="0"/>
        <v>2387989.8164874036</v>
      </c>
      <c r="K26" s="52">
        <f t="shared" si="6"/>
        <v>511462.224</v>
      </c>
      <c r="L26" s="84">
        <f t="shared" si="1"/>
        <v>2899452.0404874035</v>
      </c>
    </row>
    <row r="27" spans="1:12" ht="15">
      <c r="A27" s="95"/>
      <c r="B27" s="77"/>
      <c r="C27" s="62"/>
      <c r="D27" s="62"/>
      <c r="E27" s="81"/>
      <c r="F27" s="62"/>
      <c r="G27" s="61"/>
      <c r="H27" s="61"/>
      <c r="I27" s="74"/>
      <c r="J27" s="98">
        <f>IRR(J16:J26)</f>
        <v>0.10667073698657485</v>
      </c>
      <c r="K27" s="63"/>
      <c r="L27" s="87">
        <f>IRR(L16:L26)</f>
        <v>0.1589927190916251</v>
      </c>
    </row>
    <row r="29" ht="15">
      <c r="J29" s="167"/>
    </row>
    <row r="31" ht="15">
      <c r="E31" s="168"/>
    </row>
    <row r="32" ht="15">
      <c r="E32" s="168"/>
    </row>
    <row r="33" ht="15">
      <c r="E33" s="168"/>
    </row>
    <row r="34" ht="15">
      <c r="E34" s="168"/>
    </row>
  </sheetData>
  <sheetProtection/>
  <mergeCells count="5">
    <mergeCell ref="K13:L14"/>
    <mergeCell ref="C13:E13"/>
    <mergeCell ref="F13:I13"/>
    <mergeCell ref="J13:J15"/>
    <mergeCell ref="B13:B15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4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showGridLines="0" tabSelected="1" zoomScalePageLayoutView="0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10.8515625" style="17" customWidth="1"/>
    <col min="2" max="2" width="14.421875" style="17" customWidth="1"/>
    <col min="3" max="3" width="13.421875" style="17" bestFit="1" customWidth="1"/>
    <col min="4" max="4" width="12.8515625" style="17" customWidth="1"/>
    <col min="5" max="5" width="16.8515625" style="17" customWidth="1"/>
    <col min="6" max="6" width="14.7109375" style="17" customWidth="1"/>
    <col min="7" max="7" width="13.7109375" style="17" customWidth="1"/>
    <col min="8" max="8" width="19.8515625" style="17" customWidth="1"/>
    <col min="9" max="9" width="14.8515625" style="17" customWidth="1"/>
    <col min="10" max="10" width="16.140625" style="17" customWidth="1"/>
    <col min="11" max="16384" width="9.140625" style="17" customWidth="1"/>
  </cols>
  <sheetData>
    <row r="1" ht="15">
      <c r="G1" s="57"/>
    </row>
    <row r="2" spans="1:9" ht="15">
      <c r="A2" s="57" t="s">
        <v>148</v>
      </c>
      <c r="G2" s="17" t="s">
        <v>332</v>
      </c>
      <c r="H2" s="64"/>
      <c r="I2" s="101"/>
    </row>
    <row r="3" spans="1:9" ht="15">
      <c r="A3" s="17" t="s">
        <v>134</v>
      </c>
      <c r="E3" s="49">
        <v>12499720</v>
      </c>
      <c r="G3" s="17" t="s">
        <v>369</v>
      </c>
      <c r="H3" s="64"/>
      <c r="I3" s="101"/>
    </row>
    <row r="4" spans="1:9" ht="15">
      <c r="A4" s="17" t="s">
        <v>135</v>
      </c>
      <c r="G4" s="17" t="s">
        <v>157</v>
      </c>
      <c r="H4" s="64">
        <f>J27</f>
        <v>0.1520322028384355</v>
      </c>
      <c r="I4" s="101"/>
    </row>
    <row r="5" spans="1:9" ht="15">
      <c r="A5" s="17" t="s">
        <v>136</v>
      </c>
      <c r="D5" s="17" t="s">
        <v>137</v>
      </c>
      <c r="E5" s="102">
        <f>9500*0.95</f>
        <v>9025</v>
      </c>
      <c r="I5" s="101"/>
    </row>
    <row r="6" spans="1:5" ht="15">
      <c r="A6" s="17" t="s">
        <v>139</v>
      </c>
      <c r="D6" s="67" t="s">
        <v>140</v>
      </c>
      <c r="E6" s="68">
        <v>5</v>
      </c>
    </row>
    <row r="7" spans="1:5" ht="15">
      <c r="A7" s="17" t="s">
        <v>138</v>
      </c>
      <c r="D7" s="67" t="s">
        <v>141</v>
      </c>
      <c r="E7" s="69">
        <f>E6/1054*10^6</f>
        <v>4743.833017077799</v>
      </c>
    </row>
    <row r="8" spans="1:5" ht="15">
      <c r="A8" s="17" t="s">
        <v>142</v>
      </c>
      <c r="D8" s="67" t="s">
        <v>143</v>
      </c>
      <c r="E8" s="68">
        <f>60*1000/E5</f>
        <v>6.648199445983379</v>
      </c>
    </row>
    <row r="9" spans="1:5" ht="15">
      <c r="A9" s="17" t="s">
        <v>145</v>
      </c>
      <c r="D9" s="67" t="s">
        <v>144</v>
      </c>
      <c r="E9" s="70">
        <f>680.94/E5</f>
        <v>0.07545041551246538</v>
      </c>
    </row>
    <row r="10" spans="1:5" ht="15">
      <c r="A10" s="17" t="s">
        <v>146</v>
      </c>
      <c r="D10" s="67" t="s">
        <v>144</v>
      </c>
      <c r="E10" s="70">
        <f>E9*0.97</f>
        <v>0.07318690304709143</v>
      </c>
    </row>
    <row r="11" spans="1:5" ht="15">
      <c r="A11" s="17" t="s">
        <v>156</v>
      </c>
      <c r="D11" s="67"/>
      <c r="E11" s="71">
        <v>12</v>
      </c>
    </row>
    <row r="12" ht="15"/>
    <row r="13" spans="1:10" ht="15">
      <c r="A13" s="109" t="s">
        <v>147</v>
      </c>
      <c r="B13" s="114"/>
      <c r="C13" s="180" t="s">
        <v>151</v>
      </c>
      <c r="D13" s="170"/>
      <c r="E13" s="171"/>
      <c r="F13" s="180" t="s">
        <v>356</v>
      </c>
      <c r="G13" s="170"/>
      <c r="H13" s="170"/>
      <c r="I13" s="171"/>
      <c r="J13" s="117" t="s">
        <v>361</v>
      </c>
    </row>
    <row r="14" spans="1:10" ht="31.5" customHeight="1">
      <c r="A14" s="57" t="s">
        <v>154</v>
      </c>
      <c r="B14" s="112"/>
      <c r="C14" s="48">
        <v>0.025</v>
      </c>
      <c r="D14" s="48">
        <v>0.05</v>
      </c>
      <c r="E14" s="119">
        <v>0</v>
      </c>
      <c r="F14" s="50">
        <v>0.07</v>
      </c>
      <c r="G14" s="51"/>
      <c r="H14" s="51"/>
      <c r="I14" s="82"/>
      <c r="J14" s="82"/>
    </row>
    <row r="15" spans="1:10" ht="45">
      <c r="A15" s="111" t="s">
        <v>149</v>
      </c>
      <c r="B15" s="115" t="s">
        <v>150</v>
      </c>
      <c r="C15" s="110" t="s">
        <v>152</v>
      </c>
      <c r="D15" s="111" t="s">
        <v>153</v>
      </c>
      <c r="E15" s="79" t="s">
        <v>359</v>
      </c>
      <c r="F15" s="110" t="s">
        <v>125</v>
      </c>
      <c r="G15" s="53" t="s">
        <v>357</v>
      </c>
      <c r="H15" s="100" t="s">
        <v>358</v>
      </c>
      <c r="I15" s="72" t="s">
        <v>360</v>
      </c>
      <c r="J15" s="99"/>
    </row>
    <row r="16" spans="1:10" ht="15">
      <c r="A16" s="112">
        <v>0</v>
      </c>
      <c r="B16" s="97">
        <f>-E3</f>
        <v>-12499720</v>
      </c>
      <c r="C16" s="58">
        <v>0</v>
      </c>
      <c r="D16" s="97">
        <v>0</v>
      </c>
      <c r="E16" s="78">
        <v>0</v>
      </c>
      <c r="F16" s="58">
        <v>0</v>
      </c>
      <c r="G16" s="58">
        <v>0</v>
      </c>
      <c r="H16" s="97">
        <v>0</v>
      </c>
      <c r="I16" s="97">
        <v>0</v>
      </c>
      <c r="J16" s="97">
        <f>B16+E16+I16</f>
        <v>-12499720</v>
      </c>
    </row>
    <row r="17" spans="1:10" ht="15">
      <c r="A17" s="113">
        <v>2007</v>
      </c>
      <c r="B17" s="99">
        <v>0</v>
      </c>
      <c r="C17" s="55">
        <f>EMISSION!G6*'FSA-0'!E8*EMISSION!G8</f>
        <v>505263.1578947368</v>
      </c>
      <c r="D17" s="99">
        <f>EMISSION!G5*EMISSION!G8*'FSA-0'!E10*10^3</f>
        <v>6956579.073288864</v>
      </c>
      <c r="E17" s="96">
        <f>C17+D17</f>
        <v>7461842.231183602</v>
      </c>
      <c r="F17" s="55">
        <f>-EMISSION!G$41*EMISSION!$G$42*EMISSION!G$43*E$7</f>
        <v>-3914686.907020873</v>
      </c>
      <c r="G17" s="59">
        <f>-(4798069-741396-3109822)*12/8</f>
        <v>-1420276.5</v>
      </c>
      <c r="H17" s="96">
        <f>-(138691-40624)*12/8</f>
        <v>-147100.5</v>
      </c>
      <c r="I17" s="96">
        <f>F17+G17+H17</f>
        <v>-5482063.907020872</v>
      </c>
      <c r="J17" s="99">
        <f>B17+E17+I17</f>
        <v>1979778.324162729</v>
      </c>
    </row>
    <row r="18" spans="1:10" ht="15">
      <c r="A18" s="112">
        <v>2008</v>
      </c>
      <c r="B18" s="97">
        <v>0</v>
      </c>
      <c r="C18" s="58">
        <f>C17*(1+$C$14)</f>
        <v>517894.73684210517</v>
      </c>
      <c r="D18" s="97">
        <f>D17*(1+$D$14)</f>
        <v>7304408.026953308</v>
      </c>
      <c r="E18" s="78">
        <f aca="true" t="shared" si="0" ref="E18:E26">C18+D18</f>
        <v>7822302.763795413</v>
      </c>
      <c r="F18" s="58">
        <f>-EMISSION!G$41*EMISSION!$G$42*EMISSION!G$43*E$7</f>
        <v>-3914686.907020873</v>
      </c>
      <c r="G18" s="49">
        <f>-(7186840-1112094-4664733)</f>
        <v>-1410013</v>
      </c>
      <c r="H18" s="78">
        <f>-123996</f>
        <v>-123996</v>
      </c>
      <c r="I18" s="78">
        <f aca="true" t="shared" si="1" ref="I18:I26">F18+G18+H18</f>
        <v>-5448695.907020872</v>
      </c>
      <c r="J18" s="97">
        <f aca="true" t="shared" si="2" ref="J18:J26">B18+E18+I18</f>
        <v>2373606.8567745406</v>
      </c>
    </row>
    <row r="19" spans="1:10" ht="15">
      <c r="A19" s="113">
        <v>2009</v>
      </c>
      <c r="B19" s="99">
        <v>0</v>
      </c>
      <c r="C19" s="55">
        <f aca="true" t="shared" si="3" ref="C19:C25">C18*(1+$C$14)</f>
        <v>530842.1052631577</v>
      </c>
      <c r="D19" s="99">
        <f aca="true" t="shared" si="4" ref="D19:D25">D18*(1+$D$14)</f>
        <v>7669628.428300974</v>
      </c>
      <c r="E19" s="96">
        <f t="shared" si="0"/>
        <v>8200470.533564132</v>
      </c>
      <c r="F19" s="55">
        <f>-EMISSION!G$41*EMISSION!G42*EMISSION!G$43*E$7*(1+F$14)</f>
        <v>-4188714.9905123343</v>
      </c>
      <c r="G19" s="59">
        <f>-(7191459-1112094-4664733)</f>
        <v>-1414632</v>
      </c>
      <c r="H19" s="96">
        <f>-135075</f>
        <v>-135075</v>
      </c>
      <c r="I19" s="96">
        <f t="shared" si="1"/>
        <v>-5738421.990512334</v>
      </c>
      <c r="J19" s="99">
        <f t="shared" si="2"/>
        <v>2462048.543051798</v>
      </c>
    </row>
    <row r="20" spans="1:10" ht="15">
      <c r="A20" s="112">
        <v>2010</v>
      </c>
      <c r="B20" s="97">
        <v>0</v>
      </c>
      <c r="C20" s="58">
        <f t="shared" si="3"/>
        <v>544113.1578947366</v>
      </c>
      <c r="D20" s="97">
        <f t="shared" si="4"/>
        <v>8053109.849716023</v>
      </c>
      <c r="E20" s="78">
        <f t="shared" si="0"/>
        <v>8597223.007610759</v>
      </c>
      <c r="F20" s="58">
        <f aca="true" t="shared" si="5" ref="F20:F26">F19*(1+F$14)</f>
        <v>-4481925.039848198</v>
      </c>
      <c r="G20" s="49">
        <f>-(7663789-1112094-5131206)</f>
        <v>-1420489</v>
      </c>
      <c r="H20" s="78">
        <f>-147196</f>
        <v>-147196</v>
      </c>
      <c r="I20" s="78">
        <f t="shared" si="1"/>
        <v>-6049610.039848198</v>
      </c>
      <c r="J20" s="97">
        <f t="shared" si="2"/>
        <v>2547612.9677625606</v>
      </c>
    </row>
    <row r="21" spans="1:10" ht="15">
      <c r="A21" s="113">
        <v>2011</v>
      </c>
      <c r="B21" s="99">
        <v>0</v>
      </c>
      <c r="C21" s="55">
        <f t="shared" si="3"/>
        <v>557715.9868421049</v>
      </c>
      <c r="D21" s="99">
        <f t="shared" si="4"/>
        <v>8455765.342201823</v>
      </c>
      <c r="E21" s="96">
        <f t="shared" si="0"/>
        <v>9013481.329043929</v>
      </c>
      <c r="F21" s="55">
        <f t="shared" si="5"/>
        <v>-4795659.792637573</v>
      </c>
      <c r="G21" s="59">
        <f>-(7671008-1112094-5131206)</f>
        <v>-1427708</v>
      </c>
      <c r="H21" s="96">
        <f>-160459</f>
        <v>-160459</v>
      </c>
      <c r="I21" s="96">
        <f t="shared" si="1"/>
        <v>-6383826.792637573</v>
      </c>
      <c r="J21" s="99">
        <f t="shared" si="2"/>
        <v>2629654.536406356</v>
      </c>
    </row>
    <row r="22" spans="1:10" ht="15">
      <c r="A22" s="112">
        <v>2012</v>
      </c>
      <c r="B22" s="97">
        <v>0</v>
      </c>
      <c r="C22" s="58">
        <f t="shared" si="3"/>
        <v>571658.8865131575</v>
      </c>
      <c r="D22" s="97">
        <f t="shared" si="4"/>
        <v>8878553.609311914</v>
      </c>
      <c r="E22" s="78">
        <f t="shared" si="0"/>
        <v>9450212.49582507</v>
      </c>
      <c r="F22" s="58">
        <f t="shared" si="5"/>
        <v>-5131355.978122203</v>
      </c>
      <c r="G22" s="49">
        <f>-(8141531-1112094-5593015)</f>
        <v>-1436422</v>
      </c>
      <c r="H22" s="78">
        <f>-174976</f>
        <v>-174976</v>
      </c>
      <c r="I22" s="78">
        <f t="shared" si="1"/>
        <v>-6742753.978122203</v>
      </c>
      <c r="J22" s="97">
        <f t="shared" si="2"/>
        <v>2707458.517702868</v>
      </c>
    </row>
    <row r="23" spans="1:10" ht="15">
      <c r="A23" s="113">
        <v>2013</v>
      </c>
      <c r="B23" s="99">
        <v>0</v>
      </c>
      <c r="C23" s="55">
        <f t="shared" si="3"/>
        <v>585950.3586759864</v>
      </c>
      <c r="D23" s="99">
        <f t="shared" si="4"/>
        <v>9322481.28977751</v>
      </c>
      <c r="E23" s="96">
        <f t="shared" si="0"/>
        <v>9908431.648453496</v>
      </c>
      <c r="F23" s="55">
        <f t="shared" si="5"/>
        <v>-5490550.896590757</v>
      </c>
      <c r="G23" s="59">
        <f>-(8627297-1112094-6068421)</f>
        <v>-1446782</v>
      </c>
      <c r="H23" s="96">
        <f>-190868</f>
        <v>-190868</v>
      </c>
      <c r="I23" s="96">
        <f t="shared" si="1"/>
        <v>-7128200.896590757</v>
      </c>
      <c r="J23" s="99">
        <f t="shared" si="2"/>
        <v>2780230.751862739</v>
      </c>
    </row>
    <row r="24" spans="1:10" ht="15">
      <c r="A24" s="112">
        <v>2014</v>
      </c>
      <c r="B24" s="97">
        <v>0</v>
      </c>
      <c r="C24" s="58">
        <f t="shared" si="3"/>
        <v>600599.117642886</v>
      </c>
      <c r="D24" s="97">
        <f t="shared" si="4"/>
        <v>9788605.354266386</v>
      </c>
      <c r="E24" s="78">
        <f t="shared" si="0"/>
        <v>10389204.471909273</v>
      </c>
      <c r="F24" s="58">
        <f t="shared" si="5"/>
        <v>-5874889.4593521105</v>
      </c>
      <c r="G24" s="49">
        <f>-(8639464-1112094-6068421)</f>
        <v>-1458949</v>
      </c>
      <c r="H24" s="78">
        <f>-208269</f>
        <v>-208269</v>
      </c>
      <c r="I24" s="78">
        <f t="shared" si="1"/>
        <v>-7542107.4593521105</v>
      </c>
      <c r="J24" s="97">
        <f t="shared" si="2"/>
        <v>2847097.012557163</v>
      </c>
    </row>
    <row r="25" spans="1:10" ht="15">
      <c r="A25" s="113">
        <v>2015</v>
      </c>
      <c r="B25" s="99">
        <v>0</v>
      </c>
      <c r="C25" s="55">
        <f t="shared" si="3"/>
        <v>615614.0955839581</v>
      </c>
      <c r="D25" s="99">
        <f t="shared" si="4"/>
        <v>10278035.621979706</v>
      </c>
      <c r="E25" s="96">
        <f t="shared" si="0"/>
        <v>10893649.717563665</v>
      </c>
      <c r="F25" s="55">
        <f t="shared" si="5"/>
        <v>-6286131.721506759</v>
      </c>
      <c r="G25" s="59">
        <f>-(9111785-1112094-6526587)</f>
        <v>-1473104</v>
      </c>
      <c r="H25" s="96">
        <f>-227326</f>
        <v>-227326</v>
      </c>
      <c r="I25" s="96">
        <f t="shared" si="1"/>
        <v>-7986561.721506759</v>
      </c>
      <c r="J25" s="99">
        <f t="shared" si="2"/>
        <v>2907087.996056906</v>
      </c>
    </row>
    <row r="26" spans="1:10" ht="15">
      <c r="A26" s="112">
        <v>2016</v>
      </c>
      <c r="B26" s="97">
        <v>0</v>
      </c>
      <c r="C26" s="58">
        <f>C25*(1+$C$14)</f>
        <v>631004.4479735569</v>
      </c>
      <c r="D26" s="97">
        <f>D25*(1+$D$14)</f>
        <v>10791937.403078692</v>
      </c>
      <c r="E26" s="78">
        <f t="shared" si="0"/>
        <v>11422941.851052249</v>
      </c>
      <c r="F26" s="58">
        <f t="shared" si="5"/>
        <v>-6726160.942012232</v>
      </c>
      <c r="G26" s="49">
        <f>-(4564062-3263293-556047)*12/6</f>
        <v>-1489444</v>
      </c>
      <c r="H26" s="78">
        <f>-124100*12/6</f>
        <v>-248200</v>
      </c>
      <c r="I26" s="78">
        <f t="shared" si="1"/>
        <v>-8463804.942012232</v>
      </c>
      <c r="J26" s="97">
        <f t="shared" si="2"/>
        <v>2959136.909040017</v>
      </c>
    </row>
    <row r="27" spans="1:10" ht="15">
      <c r="A27" s="62"/>
      <c r="B27" s="62"/>
      <c r="C27" s="62"/>
      <c r="D27" s="62"/>
      <c r="E27" s="62"/>
      <c r="F27" s="62"/>
      <c r="G27" s="61"/>
      <c r="H27" s="61"/>
      <c r="I27" s="61"/>
      <c r="J27" s="118">
        <f>IRR(J16:J26)</f>
        <v>0.1520322028384355</v>
      </c>
    </row>
    <row r="28" ht="15"/>
    <row r="29" ht="15"/>
    <row r="30" ht="15">
      <c r="G30" s="108"/>
    </row>
  </sheetData>
  <sheetProtection/>
  <mergeCells count="2">
    <mergeCell ref="F13:I13"/>
    <mergeCell ref="C13:E1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5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7"/>
  <sheetViews>
    <sheetView showGridLines="0" tabSelected="1" zoomScalePageLayoutView="0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10.8515625" style="0" customWidth="1"/>
    <col min="2" max="2" width="14.421875" style="0" customWidth="1"/>
    <col min="3" max="3" width="13.421875" style="0" bestFit="1" customWidth="1"/>
    <col min="4" max="4" width="12.8515625" style="0" customWidth="1"/>
    <col min="5" max="5" width="16.8515625" style="0" customWidth="1"/>
    <col min="6" max="6" width="14.7109375" style="0" customWidth="1"/>
    <col min="7" max="7" width="15.28125" style="0" customWidth="1"/>
    <col min="8" max="8" width="19.421875" style="0" customWidth="1"/>
    <col min="9" max="9" width="14.8515625" style="0" customWidth="1"/>
    <col min="10" max="10" width="20.140625" style="0" customWidth="1"/>
    <col min="11" max="16384" width="9.140625" style="0" customWidth="1"/>
  </cols>
  <sheetData>
    <row r="2" spans="1:9" ht="15">
      <c r="A2" s="57" t="s">
        <v>148</v>
      </c>
      <c r="B2" s="17"/>
      <c r="C2" s="17"/>
      <c r="D2" s="17"/>
      <c r="E2" s="17"/>
      <c r="G2" t="s">
        <v>332</v>
      </c>
      <c r="H2" s="10"/>
      <c r="I2" s="47"/>
    </row>
    <row r="3" spans="1:9" ht="15">
      <c r="A3" s="17" t="s">
        <v>134</v>
      </c>
      <c r="B3" s="17"/>
      <c r="C3" s="17"/>
      <c r="D3" s="17"/>
      <c r="E3" s="49">
        <v>12499720</v>
      </c>
      <c r="G3" t="s">
        <v>196</v>
      </c>
      <c r="H3" s="10"/>
      <c r="I3" s="47"/>
    </row>
    <row r="4" spans="1:9" ht="15">
      <c r="A4" s="17" t="s">
        <v>135</v>
      </c>
      <c r="B4" s="17"/>
      <c r="C4" s="17"/>
      <c r="D4" s="17"/>
      <c r="E4" s="17"/>
      <c r="G4" t="s">
        <v>157</v>
      </c>
      <c r="H4" s="10"/>
      <c r="I4" s="47">
        <f>J27</f>
        <v>0.14727812496820752</v>
      </c>
    </row>
    <row r="5" spans="1:5" ht="15">
      <c r="A5" s="17" t="s">
        <v>136</v>
      </c>
      <c r="B5" s="17"/>
      <c r="C5" s="17"/>
      <c r="D5" s="17" t="s">
        <v>137</v>
      </c>
      <c r="E5" s="66">
        <v>9500</v>
      </c>
    </row>
    <row r="6" spans="1:5" ht="15">
      <c r="A6" s="17" t="s">
        <v>139</v>
      </c>
      <c r="B6" s="17"/>
      <c r="C6" s="17"/>
      <c r="D6" s="67" t="s">
        <v>140</v>
      </c>
      <c r="E6" s="68">
        <v>5</v>
      </c>
    </row>
    <row r="7" spans="1:5" ht="15">
      <c r="A7" s="17" t="s">
        <v>138</v>
      </c>
      <c r="B7" s="17"/>
      <c r="C7" s="17"/>
      <c r="D7" s="67" t="s">
        <v>141</v>
      </c>
      <c r="E7" s="69">
        <f>E6/1054*10^6</f>
        <v>4743.833017077799</v>
      </c>
    </row>
    <row r="8" spans="1:5" ht="15">
      <c r="A8" s="17" t="s">
        <v>142</v>
      </c>
      <c r="B8" s="17"/>
      <c r="C8" s="17"/>
      <c r="D8" s="67" t="s">
        <v>143</v>
      </c>
      <c r="E8" s="68">
        <f>60*1000/E5</f>
        <v>6.315789473684211</v>
      </c>
    </row>
    <row r="9" spans="1:5" ht="15">
      <c r="A9" s="17" t="s">
        <v>145</v>
      </c>
      <c r="B9" s="17"/>
      <c r="C9" s="17"/>
      <c r="D9" s="67" t="s">
        <v>144</v>
      </c>
      <c r="E9" s="120">
        <f>680.94/E5*1.05</f>
        <v>0.07526178947368421</v>
      </c>
    </row>
    <row r="10" spans="1:5" ht="15">
      <c r="A10" s="17" t="s">
        <v>146</v>
      </c>
      <c r="B10" s="17"/>
      <c r="C10" s="17"/>
      <c r="D10" s="67" t="s">
        <v>144</v>
      </c>
      <c r="E10" s="70">
        <f>E9*0.97</f>
        <v>0.07300393578947369</v>
      </c>
    </row>
    <row r="11" spans="1:5" ht="15">
      <c r="A11" s="17" t="s">
        <v>156</v>
      </c>
      <c r="B11" s="17"/>
      <c r="C11" s="17"/>
      <c r="D11" s="67"/>
      <c r="E11" s="71">
        <v>12</v>
      </c>
    </row>
    <row r="13" spans="1:10" ht="15">
      <c r="A13" s="122" t="s">
        <v>147</v>
      </c>
      <c r="B13" s="127"/>
      <c r="C13" s="181" t="s">
        <v>151</v>
      </c>
      <c r="D13" s="182"/>
      <c r="E13" s="183"/>
      <c r="F13" s="170" t="s">
        <v>356</v>
      </c>
      <c r="G13" s="170"/>
      <c r="H13" s="170"/>
      <c r="I13" s="171"/>
      <c r="J13" s="140" t="s">
        <v>361</v>
      </c>
    </row>
    <row r="14" spans="1:10" ht="31.5" customHeight="1">
      <c r="A14" s="91" t="s">
        <v>154</v>
      </c>
      <c r="B14" s="124"/>
      <c r="C14" s="129">
        <v>0.025</v>
      </c>
      <c r="D14" s="130">
        <v>0.05</v>
      </c>
      <c r="E14" s="116">
        <v>0</v>
      </c>
      <c r="F14" s="64">
        <v>0.07</v>
      </c>
      <c r="G14" s="51"/>
      <c r="H14" s="51"/>
      <c r="I14" s="82"/>
      <c r="J14" s="141"/>
    </row>
    <row r="15" spans="1:10" ht="45">
      <c r="A15" s="123" t="s">
        <v>149</v>
      </c>
      <c r="B15" s="128" t="s">
        <v>150</v>
      </c>
      <c r="C15" s="131" t="s">
        <v>152</v>
      </c>
      <c r="D15" s="132" t="s">
        <v>153</v>
      </c>
      <c r="E15" s="79" t="s">
        <v>359</v>
      </c>
      <c r="F15" s="110" t="s">
        <v>125</v>
      </c>
      <c r="G15" s="53" t="s">
        <v>357</v>
      </c>
      <c r="H15" s="54" t="s">
        <v>358</v>
      </c>
      <c r="I15" s="72" t="s">
        <v>360</v>
      </c>
      <c r="J15" s="142"/>
    </row>
    <row r="16" spans="1:10" ht="15">
      <c r="A16" s="124">
        <v>0</v>
      </c>
      <c r="B16" s="75">
        <f>-E3</f>
        <v>-12499720</v>
      </c>
      <c r="C16" s="133">
        <v>0</v>
      </c>
      <c r="D16" s="134">
        <v>0</v>
      </c>
      <c r="E16" s="78">
        <v>0</v>
      </c>
      <c r="F16" s="58">
        <v>0</v>
      </c>
      <c r="G16" s="58">
        <v>0</v>
      </c>
      <c r="H16" s="58">
        <v>0</v>
      </c>
      <c r="I16" s="97">
        <v>0</v>
      </c>
      <c r="J16" s="143">
        <f>B16+E16+I16</f>
        <v>-12499720</v>
      </c>
    </row>
    <row r="17" spans="1:10" ht="15">
      <c r="A17" s="125">
        <v>2007</v>
      </c>
      <c r="B17" s="76">
        <v>0</v>
      </c>
      <c r="C17" s="135">
        <f>EMISSION!G6*'FSA-1'!E8*EMISSION!G8</f>
        <v>480000</v>
      </c>
      <c r="D17" s="136">
        <f>EMISSION!G5*EMISSION!G8*'FSA-1'!E10*10^3</f>
        <v>6939187.625605642</v>
      </c>
      <c r="E17" s="96">
        <f>C17+D17</f>
        <v>7419187.625605642</v>
      </c>
      <c r="F17" s="55">
        <f>-EMISSION!G$41*EMISSION!G42*EMISSION!G$43*E$7</f>
        <v>-3914686.907020873</v>
      </c>
      <c r="G17" s="59">
        <f>-(4798069-741396-3109822)*12/8</f>
        <v>-1420276.5</v>
      </c>
      <c r="H17" s="59">
        <f>-(138691-40624)*12/8</f>
        <v>-147100.5</v>
      </c>
      <c r="I17" s="96">
        <f>F17+G17+H17</f>
        <v>-5482063.907020872</v>
      </c>
      <c r="J17" s="142">
        <f>B17+E17+I17</f>
        <v>1937123.7185847694</v>
      </c>
    </row>
    <row r="18" spans="1:10" ht="15">
      <c r="A18" s="124">
        <v>2008</v>
      </c>
      <c r="B18" s="75">
        <v>0</v>
      </c>
      <c r="C18" s="133">
        <f>C17*(1+$C$14)</f>
        <v>491999.99999999994</v>
      </c>
      <c r="D18" s="134">
        <f>D17*(1+$D$14)</f>
        <v>7286147.006885924</v>
      </c>
      <c r="E18" s="78">
        <f aca="true" t="shared" si="0" ref="E18:E26">C18+D18</f>
        <v>7778147.006885924</v>
      </c>
      <c r="F18" s="58">
        <f>-EMISSION!G$41*EMISSION!G42*EMISSION!G$43*E$7</f>
        <v>-3914686.907020873</v>
      </c>
      <c r="G18" s="49">
        <f>-(7186840-1112094-4664733)</f>
        <v>-1410013</v>
      </c>
      <c r="H18" s="49">
        <f>-123996</f>
        <v>-123996</v>
      </c>
      <c r="I18" s="78">
        <f aca="true" t="shared" si="1" ref="I18:I26">F18+G18+H18</f>
        <v>-5448695.907020872</v>
      </c>
      <c r="J18" s="143">
        <f aca="true" t="shared" si="2" ref="J18:J26">B18+E18+I18</f>
        <v>2329451.099865052</v>
      </c>
    </row>
    <row r="19" spans="1:10" ht="15">
      <c r="A19" s="125">
        <v>2009</v>
      </c>
      <c r="B19" s="76">
        <v>0</v>
      </c>
      <c r="C19" s="135">
        <f aca="true" t="shared" si="3" ref="C19:C25">C18*(1+$C$14)</f>
        <v>504299.9999999999</v>
      </c>
      <c r="D19" s="136">
        <f aca="true" t="shared" si="4" ref="D19:D25">D18*(1+$D$14)</f>
        <v>7650454.357230221</v>
      </c>
      <c r="E19" s="96">
        <f t="shared" si="0"/>
        <v>8154754.357230221</v>
      </c>
      <c r="F19" s="55">
        <f>-EMISSION!G$41*EMISSION!G42*EMISSION!G$43*E$7*(1+F$14)</f>
        <v>-4188714.9905123343</v>
      </c>
      <c r="G19" s="59">
        <f>-(7191459-1112094-4664733)</f>
        <v>-1414632</v>
      </c>
      <c r="H19" s="59">
        <f>-135075</f>
        <v>-135075</v>
      </c>
      <c r="I19" s="96">
        <f t="shared" si="1"/>
        <v>-5738421.990512334</v>
      </c>
      <c r="J19" s="142">
        <f t="shared" si="2"/>
        <v>2416332.366717887</v>
      </c>
    </row>
    <row r="20" spans="1:10" ht="15">
      <c r="A20" s="124">
        <v>2010</v>
      </c>
      <c r="B20" s="75">
        <v>0</v>
      </c>
      <c r="C20" s="133">
        <f t="shared" si="3"/>
        <v>516907.4999999998</v>
      </c>
      <c r="D20" s="134">
        <f t="shared" si="4"/>
        <v>8032977.075091733</v>
      </c>
      <c r="E20" s="78">
        <f t="shared" si="0"/>
        <v>8549884.575091733</v>
      </c>
      <c r="F20" s="58">
        <f aca="true" t="shared" si="5" ref="F20:F26">F19*(1+F$14)</f>
        <v>-4481925.039848198</v>
      </c>
      <c r="G20" s="49">
        <f>-(7663789-1112094-5131206)</f>
        <v>-1420489</v>
      </c>
      <c r="H20" s="49">
        <f>-147196</f>
        <v>-147196</v>
      </c>
      <c r="I20" s="78">
        <f t="shared" si="1"/>
        <v>-6049610.039848198</v>
      </c>
      <c r="J20" s="143">
        <f t="shared" si="2"/>
        <v>2500274.5352435345</v>
      </c>
    </row>
    <row r="21" spans="1:10" ht="15">
      <c r="A21" s="125">
        <v>2011</v>
      </c>
      <c r="B21" s="76">
        <v>0</v>
      </c>
      <c r="C21" s="135">
        <f t="shared" si="3"/>
        <v>529830.1874999998</v>
      </c>
      <c r="D21" s="136">
        <f t="shared" si="4"/>
        <v>8434625.92884632</v>
      </c>
      <c r="E21" s="96">
        <f t="shared" si="0"/>
        <v>8964456.11634632</v>
      </c>
      <c r="F21" s="55">
        <f t="shared" si="5"/>
        <v>-4795659.792637573</v>
      </c>
      <c r="G21" s="59">
        <f>-(7671008-1112094-5131206)</f>
        <v>-1427708</v>
      </c>
      <c r="H21" s="59">
        <f>-160459</f>
        <v>-160459</v>
      </c>
      <c r="I21" s="96">
        <f t="shared" si="1"/>
        <v>-6383826.792637573</v>
      </c>
      <c r="J21" s="142">
        <f t="shared" si="2"/>
        <v>2580629.3237087475</v>
      </c>
    </row>
    <row r="22" spans="1:10" ht="15">
      <c r="A22" s="124">
        <v>2012</v>
      </c>
      <c r="B22" s="75">
        <v>0</v>
      </c>
      <c r="C22" s="133">
        <f t="shared" si="3"/>
        <v>543075.9421874997</v>
      </c>
      <c r="D22" s="134">
        <f t="shared" si="4"/>
        <v>8856357.225288637</v>
      </c>
      <c r="E22" s="78">
        <f t="shared" si="0"/>
        <v>9399433.167476136</v>
      </c>
      <c r="F22" s="58">
        <f t="shared" si="5"/>
        <v>-5131355.978122203</v>
      </c>
      <c r="G22" s="49">
        <f>-(8141531-1112094-5593015)</f>
        <v>-1436422</v>
      </c>
      <c r="H22" s="49">
        <f>-174976</f>
        <v>-174976</v>
      </c>
      <c r="I22" s="78">
        <f t="shared" si="1"/>
        <v>-6742753.978122203</v>
      </c>
      <c r="J22" s="143">
        <f t="shared" si="2"/>
        <v>2656679.1893539336</v>
      </c>
    </row>
    <row r="23" spans="1:10" ht="15">
      <c r="A23" s="125">
        <v>2013</v>
      </c>
      <c r="B23" s="76">
        <v>0</v>
      </c>
      <c r="C23" s="135">
        <f t="shared" si="3"/>
        <v>556652.8407421871</v>
      </c>
      <c r="D23" s="136">
        <f t="shared" si="4"/>
        <v>9299175.086553069</v>
      </c>
      <c r="E23" s="96">
        <f t="shared" si="0"/>
        <v>9855827.927295256</v>
      </c>
      <c r="F23" s="55">
        <f t="shared" si="5"/>
        <v>-5490550.896590757</v>
      </c>
      <c r="G23" s="59">
        <f>-(8627297-1112094-6068421)</f>
        <v>-1446782</v>
      </c>
      <c r="H23" s="59">
        <f>-190868</f>
        <v>-190868</v>
      </c>
      <c r="I23" s="96">
        <f t="shared" si="1"/>
        <v>-7128200.896590757</v>
      </c>
      <c r="J23" s="142">
        <f t="shared" si="2"/>
        <v>2727627.030704499</v>
      </c>
    </row>
    <row r="24" spans="1:10" ht="15">
      <c r="A24" s="124">
        <v>2014</v>
      </c>
      <c r="B24" s="75">
        <v>0</v>
      </c>
      <c r="C24" s="133">
        <f t="shared" si="3"/>
        <v>570569.1617607417</v>
      </c>
      <c r="D24" s="134">
        <f t="shared" si="4"/>
        <v>9764133.840880722</v>
      </c>
      <c r="E24" s="78">
        <f t="shared" si="0"/>
        <v>10334703.002641464</v>
      </c>
      <c r="F24" s="58">
        <f t="shared" si="5"/>
        <v>-5874889.4593521105</v>
      </c>
      <c r="G24" s="49">
        <f>-(8639464-1112094-6068421)</f>
        <v>-1458949</v>
      </c>
      <c r="H24" s="49">
        <f>-208269</f>
        <v>-208269</v>
      </c>
      <c r="I24" s="78">
        <f t="shared" si="1"/>
        <v>-7542107.4593521105</v>
      </c>
      <c r="J24" s="143">
        <f t="shared" si="2"/>
        <v>2792595.543289353</v>
      </c>
    </row>
    <row r="25" spans="1:10" ht="15">
      <c r="A25" s="125">
        <v>2015</v>
      </c>
      <c r="B25" s="76">
        <v>0</v>
      </c>
      <c r="C25" s="135">
        <f t="shared" si="3"/>
        <v>584833.3908047603</v>
      </c>
      <c r="D25" s="136">
        <f t="shared" si="4"/>
        <v>10252340.532924758</v>
      </c>
      <c r="E25" s="96">
        <f t="shared" si="0"/>
        <v>10837173.923729518</v>
      </c>
      <c r="F25" s="55">
        <f t="shared" si="5"/>
        <v>-6286131.721506759</v>
      </c>
      <c r="G25" s="59">
        <f>-(9111785-1112094-6526587)</f>
        <v>-1473104</v>
      </c>
      <c r="H25" s="59">
        <f>-227326</f>
        <v>-227326</v>
      </c>
      <c r="I25" s="96">
        <f t="shared" si="1"/>
        <v>-7986561.721506759</v>
      </c>
      <c r="J25" s="142">
        <f t="shared" si="2"/>
        <v>2850612.20222276</v>
      </c>
    </row>
    <row r="26" spans="1:10" ht="15">
      <c r="A26" s="124">
        <v>2016</v>
      </c>
      <c r="B26" s="75">
        <v>0</v>
      </c>
      <c r="C26" s="133">
        <f>C25*(1+$C$14)</f>
        <v>599454.2255748792</v>
      </c>
      <c r="D26" s="134">
        <f>D25*(1+$D$14)</f>
        <v>10764957.559570996</v>
      </c>
      <c r="E26" s="78">
        <f t="shared" si="0"/>
        <v>11364411.785145875</v>
      </c>
      <c r="F26" s="58">
        <f t="shared" si="5"/>
        <v>-6726160.942012232</v>
      </c>
      <c r="G26" s="49">
        <f>-(4564062-3263293-556047)*12/6</f>
        <v>-1489444</v>
      </c>
      <c r="H26" s="49">
        <f>-124100*12/6</f>
        <v>-248200</v>
      </c>
      <c r="I26" s="78">
        <f t="shared" si="1"/>
        <v>-8463804.942012232</v>
      </c>
      <c r="J26" s="143">
        <f t="shared" si="2"/>
        <v>2900606.8431336433</v>
      </c>
    </row>
    <row r="27" spans="1:10" ht="15">
      <c r="A27" s="126"/>
      <c r="B27" s="77"/>
      <c r="C27" s="137"/>
      <c r="D27" s="138"/>
      <c r="E27" s="139"/>
      <c r="F27" s="62"/>
      <c r="G27" s="61"/>
      <c r="H27" s="61"/>
      <c r="I27" s="74"/>
      <c r="J27" s="144">
        <f>IRR(J16:J26)</f>
        <v>0.14727812496820752</v>
      </c>
    </row>
  </sheetData>
  <sheetProtection/>
  <mergeCells count="2">
    <mergeCell ref="C13:E13"/>
    <mergeCell ref="F13:I13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57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"/>
  <sheetViews>
    <sheetView showGridLines="0" tabSelected="1" zoomScalePageLayoutView="0" workbookViewId="0" topLeftCell="A1">
      <pane ySplit="11" topLeftCell="BM12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10.8515625" style="0" customWidth="1"/>
    <col min="2" max="2" width="14.421875" style="0" customWidth="1"/>
    <col min="3" max="3" width="13.421875" style="0" bestFit="1" customWidth="1"/>
    <col min="4" max="4" width="12.8515625" style="0" customWidth="1"/>
    <col min="5" max="5" width="16.8515625" style="0" customWidth="1"/>
    <col min="6" max="6" width="14.7109375" style="0" customWidth="1"/>
    <col min="7" max="7" width="13.7109375" style="0" customWidth="1"/>
    <col min="8" max="8" width="19.421875" style="0" customWidth="1"/>
    <col min="9" max="9" width="14.8515625" style="0" customWidth="1"/>
    <col min="10" max="10" width="16.421875" style="0" customWidth="1"/>
    <col min="11" max="16384" width="9.140625" style="0" customWidth="1"/>
  </cols>
  <sheetData>
    <row r="2" spans="1:9" ht="15">
      <c r="A2" s="57" t="s">
        <v>148</v>
      </c>
      <c r="B2" s="17"/>
      <c r="C2" s="17"/>
      <c r="D2" s="17"/>
      <c r="E2" s="17"/>
      <c r="G2" s="3" t="s">
        <v>332</v>
      </c>
      <c r="I2" s="4"/>
    </row>
    <row r="3" spans="1:9" ht="15">
      <c r="A3" s="17" t="s">
        <v>134</v>
      </c>
      <c r="B3" s="17"/>
      <c r="C3" s="17"/>
      <c r="D3" s="17"/>
      <c r="E3" s="49">
        <v>12499720</v>
      </c>
      <c r="G3" t="s">
        <v>194</v>
      </c>
      <c r="I3" s="10"/>
    </row>
    <row r="4" spans="1:9" ht="15">
      <c r="A4" s="17" t="s">
        <v>135</v>
      </c>
      <c r="B4" s="17"/>
      <c r="C4" s="17"/>
      <c r="D4" s="17"/>
      <c r="E4" s="17"/>
      <c r="G4" t="s">
        <v>157</v>
      </c>
      <c r="I4" s="10">
        <f>J27</f>
        <v>0.11132302920160868</v>
      </c>
    </row>
    <row r="5" spans="1:9" ht="15">
      <c r="A5" s="17" t="s">
        <v>136</v>
      </c>
      <c r="B5" s="17"/>
      <c r="C5" s="17"/>
      <c r="D5" s="17" t="s">
        <v>137</v>
      </c>
      <c r="E5" s="66">
        <v>9500</v>
      </c>
      <c r="I5" s="1"/>
    </row>
    <row r="6" spans="1:5" ht="15">
      <c r="A6" s="17" t="s">
        <v>139</v>
      </c>
      <c r="B6" s="17"/>
      <c r="C6" s="17"/>
      <c r="D6" s="67" t="s">
        <v>140</v>
      </c>
      <c r="E6" s="68">
        <v>5</v>
      </c>
    </row>
    <row r="7" spans="1:5" ht="15">
      <c r="A7" s="17" t="s">
        <v>138</v>
      </c>
      <c r="B7" s="17"/>
      <c r="C7" s="17"/>
      <c r="D7" s="67" t="s">
        <v>141</v>
      </c>
      <c r="E7" s="69">
        <f>E6/1054*10^6</f>
        <v>4743.833017077799</v>
      </c>
    </row>
    <row r="8" spans="1:5" ht="15">
      <c r="A8" s="17" t="s">
        <v>142</v>
      </c>
      <c r="B8" s="17"/>
      <c r="C8" s="17"/>
      <c r="D8" s="67" t="s">
        <v>143</v>
      </c>
      <c r="E8" s="145">
        <f>65*1000/E5</f>
        <v>6.842105263157895</v>
      </c>
    </row>
    <row r="9" spans="1:5" ht="15">
      <c r="A9" s="17" t="s">
        <v>145</v>
      </c>
      <c r="B9" s="17"/>
      <c r="C9" s="17"/>
      <c r="D9" s="67" t="s">
        <v>144</v>
      </c>
      <c r="E9" s="70">
        <f>680.94/E5</f>
        <v>0.07167789473684211</v>
      </c>
    </row>
    <row r="10" spans="1:5" ht="15">
      <c r="A10" s="17" t="s">
        <v>146</v>
      </c>
      <c r="B10" s="17"/>
      <c r="C10" s="17"/>
      <c r="D10" s="67" t="s">
        <v>144</v>
      </c>
      <c r="E10" s="70">
        <f>E9*0.97</f>
        <v>0.06952755789473684</v>
      </c>
    </row>
    <row r="11" spans="1:5" ht="15">
      <c r="A11" s="17" t="s">
        <v>156</v>
      </c>
      <c r="B11" s="17"/>
      <c r="C11" s="17"/>
      <c r="D11" s="67"/>
      <c r="E11" s="71">
        <v>12</v>
      </c>
    </row>
    <row r="13" spans="1:10" ht="15">
      <c r="A13" s="57" t="s">
        <v>147</v>
      </c>
      <c r="B13" s="112"/>
      <c r="C13" s="103" t="s">
        <v>151</v>
      </c>
      <c r="D13" s="103"/>
      <c r="E13" s="152"/>
      <c r="F13" s="103"/>
      <c r="G13" s="103" t="s">
        <v>356</v>
      </c>
      <c r="H13" s="103"/>
      <c r="I13" s="152"/>
      <c r="J13" s="146" t="s">
        <v>361</v>
      </c>
    </row>
    <row r="14" spans="1:10" ht="31.5" customHeight="1">
      <c r="A14" s="57" t="s">
        <v>154</v>
      </c>
      <c r="B14" s="112"/>
      <c r="C14" s="105">
        <v>0.025</v>
      </c>
      <c r="D14" s="105">
        <v>0.05</v>
      </c>
      <c r="E14" s="116">
        <v>0</v>
      </c>
      <c r="F14" s="64">
        <v>0.07</v>
      </c>
      <c r="G14" s="51"/>
      <c r="H14" s="51"/>
      <c r="I14" s="82"/>
      <c r="J14" s="147"/>
    </row>
    <row r="15" spans="1:10" ht="45">
      <c r="A15" s="150" t="s">
        <v>149</v>
      </c>
      <c r="B15" s="151" t="s">
        <v>150</v>
      </c>
      <c r="C15" s="106" t="s">
        <v>152</v>
      </c>
      <c r="D15" s="106" t="s">
        <v>153</v>
      </c>
      <c r="E15" s="153" t="s">
        <v>359</v>
      </c>
      <c r="F15" s="106" t="s">
        <v>125</v>
      </c>
      <c r="G15" s="104" t="s">
        <v>357</v>
      </c>
      <c r="H15" s="107" t="s">
        <v>358</v>
      </c>
      <c r="I15" s="154" t="s">
        <v>360</v>
      </c>
      <c r="J15" s="148"/>
    </row>
    <row r="16" spans="1:10" ht="15">
      <c r="A16" s="112">
        <v>0</v>
      </c>
      <c r="B16" s="97">
        <f>-E3</f>
        <v>-12499720</v>
      </c>
      <c r="C16" s="58">
        <v>0</v>
      </c>
      <c r="D16" s="58">
        <v>0</v>
      </c>
      <c r="E16" s="80">
        <v>0</v>
      </c>
      <c r="F16" s="58">
        <v>0</v>
      </c>
      <c r="G16" s="58">
        <v>0</v>
      </c>
      <c r="H16" s="58">
        <v>0</v>
      </c>
      <c r="I16" s="83">
        <v>0</v>
      </c>
      <c r="J16" s="148">
        <f>B16+E16+I16</f>
        <v>-12499720</v>
      </c>
    </row>
    <row r="17" spans="1:10" ht="15">
      <c r="A17" s="112">
        <v>2007</v>
      </c>
      <c r="B17" s="97">
        <v>0</v>
      </c>
      <c r="C17" s="58">
        <f>EMISSION!G6*'FSA-2'!E8*EMISSION!G8</f>
        <v>520000</v>
      </c>
      <c r="D17" s="58">
        <f>EMISSION!G5*EMISSION!G8*'FSA-2'!E10*10^3</f>
        <v>6608750.11962442</v>
      </c>
      <c r="E17" s="80">
        <f>C17+D17</f>
        <v>7128750.11962442</v>
      </c>
      <c r="F17" s="58">
        <f>-EMISSION!G$41*EMISSION!G42*EMISSION!G$43*E$7</f>
        <v>-3914686.907020873</v>
      </c>
      <c r="G17" s="49">
        <f>-(4798069-741396-3109822)*12/8</f>
        <v>-1420276.5</v>
      </c>
      <c r="H17" s="49">
        <f>-(138691-40624)*12/8</f>
        <v>-147100.5</v>
      </c>
      <c r="I17" s="80">
        <f>F17+G17+H17</f>
        <v>-5482063.907020872</v>
      </c>
      <c r="J17" s="148">
        <f>B17+E17+I17</f>
        <v>1646686.2126035476</v>
      </c>
    </row>
    <row r="18" spans="1:10" ht="15">
      <c r="A18" s="112">
        <v>2008</v>
      </c>
      <c r="B18" s="97">
        <v>0</v>
      </c>
      <c r="C18" s="58">
        <f>C17*(1+$C$14)</f>
        <v>533000</v>
      </c>
      <c r="D18" s="58">
        <f>D17*(1+$D$14)</f>
        <v>6939187.625605641</v>
      </c>
      <c r="E18" s="80">
        <f aca="true" t="shared" si="0" ref="E18:E26">C18+D18</f>
        <v>7472187.625605641</v>
      </c>
      <c r="F18" s="58">
        <f>-EMISSION!G$41*EMISSION!G42*EMISSION!G$43*E$7</f>
        <v>-3914686.907020873</v>
      </c>
      <c r="G18" s="49">
        <f>-(7186840-1112094-4664733)</f>
        <v>-1410013</v>
      </c>
      <c r="H18" s="49">
        <f>-123996</f>
        <v>-123996</v>
      </c>
      <c r="I18" s="80">
        <f aca="true" t="shared" si="1" ref="I18:I26">F18+G18+H18</f>
        <v>-5448695.907020872</v>
      </c>
      <c r="J18" s="148">
        <f aca="true" t="shared" si="2" ref="J18:J26">B18+E18+I18</f>
        <v>2023491.7185847685</v>
      </c>
    </row>
    <row r="19" spans="1:10" ht="15">
      <c r="A19" s="112">
        <v>2009</v>
      </c>
      <c r="B19" s="97">
        <v>0</v>
      </c>
      <c r="C19" s="58">
        <f aca="true" t="shared" si="3" ref="C19:C25">C18*(1+$C$14)</f>
        <v>546325</v>
      </c>
      <c r="D19" s="58">
        <f aca="true" t="shared" si="4" ref="D19:D25">D18*(1+$D$14)</f>
        <v>7286147.006885923</v>
      </c>
      <c r="E19" s="80">
        <f t="shared" si="0"/>
        <v>7832472.006885923</v>
      </c>
      <c r="F19" s="58">
        <f>-EMISSION!G$41*EMISSION!G42*EMISSION!G$43*E$7*(1+F$14)</f>
        <v>-4188714.9905123343</v>
      </c>
      <c r="G19" s="49">
        <f>-(7191459-1112094-4664733)</f>
        <v>-1414632</v>
      </c>
      <c r="H19" s="49">
        <f>-135075</f>
        <v>-135075</v>
      </c>
      <c r="I19" s="80">
        <f t="shared" si="1"/>
        <v>-5738421.990512334</v>
      </c>
      <c r="J19" s="148">
        <f t="shared" si="2"/>
        <v>2094050.0163735896</v>
      </c>
    </row>
    <row r="20" spans="1:10" ht="15">
      <c r="A20" s="112">
        <v>2010</v>
      </c>
      <c r="B20" s="97">
        <v>0</v>
      </c>
      <c r="C20" s="58">
        <f t="shared" si="3"/>
        <v>559983.125</v>
      </c>
      <c r="D20" s="58">
        <f t="shared" si="4"/>
        <v>7650454.35723022</v>
      </c>
      <c r="E20" s="80">
        <f t="shared" si="0"/>
        <v>8210437.48223022</v>
      </c>
      <c r="F20" s="58">
        <f aca="true" t="shared" si="5" ref="F20:F26">F19*(1+F$14)</f>
        <v>-4481925.039848198</v>
      </c>
      <c r="G20" s="49">
        <f>-(7663789-1112094-5131206)</f>
        <v>-1420489</v>
      </c>
      <c r="H20" s="49">
        <f>-147196</f>
        <v>-147196</v>
      </c>
      <c r="I20" s="80">
        <f t="shared" si="1"/>
        <v>-6049610.039848198</v>
      </c>
      <c r="J20" s="148">
        <f t="shared" si="2"/>
        <v>2160827.442382022</v>
      </c>
    </row>
    <row r="21" spans="1:10" ht="15">
      <c r="A21" s="112">
        <v>2011</v>
      </c>
      <c r="B21" s="97">
        <v>0</v>
      </c>
      <c r="C21" s="58">
        <f t="shared" si="3"/>
        <v>573982.703125</v>
      </c>
      <c r="D21" s="58">
        <f t="shared" si="4"/>
        <v>8032977.075091732</v>
      </c>
      <c r="E21" s="80">
        <f t="shared" si="0"/>
        <v>8606959.77821673</v>
      </c>
      <c r="F21" s="58">
        <f t="shared" si="5"/>
        <v>-4795659.792637573</v>
      </c>
      <c r="G21" s="49">
        <f>-(7671008-1112094-5131206)</f>
        <v>-1427708</v>
      </c>
      <c r="H21" s="49">
        <f>-160459</f>
        <v>-160459</v>
      </c>
      <c r="I21" s="80">
        <f t="shared" si="1"/>
        <v>-6383826.792637573</v>
      </c>
      <c r="J21" s="148">
        <f t="shared" si="2"/>
        <v>2223132.985579158</v>
      </c>
    </row>
    <row r="22" spans="1:10" ht="15">
      <c r="A22" s="112">
        <v>2012</v>
      </c>
      <c r="B22" s="97">
        <v>0</v>
      </c>
      <c r="C22" s="58">
        <f t="shared" si="3"/>
        <v>588332.2707031249</v>
      </c>
      <c r="D22" s="58">
        <f t="shared" si="4"/>
        <v>8434625.928846318</v>
      </c>
      <c r="E22" s="80">
        <f t="shared" si="0"/>
        <v>9022958.199549444</v>
      </c>
      <c r="F22" s="58">
        <f t="shared" si="5"/>
        <v>-5131355.978122203</v>
      </c>
      <c r="G22" s="49">
        <f>-(8141531-1112094-5593015)</f>
        <v>-1436422</v>
      </c>
      <c r="H22" s="49">
        <f>-174976</f>
        <v>-174976</v>
      </c>
      <c r="I22" s="80">
        <f t="shared" si="1"/>
        <v>-6742753.978122203</v>
      </c>
      <c r="J22" s="148">
        <f t="shared" si="2"/>
        <v>2280204.2214272413</v>
      </c>
    </row>
    <row r="23" spans="1:10" ht="15">
      <c r="A23" s="112">
        <v>2013</v>
      </c>
      <c r="B23" s="97">
        <v>0</v>
      </c>
      <c r="C23" s="58">
        <f t="shared" si="3"/>
        <v>603040.577470703</v>
      </c>
      <c r="D23" s="58">
        <f t="shared" si="4"/>
        <v>8856357.225288635</v>
      </c>
      <c r="E23" s="80">
        <f t="shared" si="0"/>
        <v>9459397.802759338</v>
      </c>
      <c r="F23" s="58">
        <f t="shared" si="5"/>
        <v>-5490550.896590757</v>
      </c>
      <c r="G23" s="49">
        <f>-(8627297-1112094-6068421)</f>
        <v>-1446782</v>
      </c>
      <c r="H23" s="49">
        <f>-190868</f>
        <v>-190868</v>
      </c>
      <c r="I23" s="80">
        <f t="shared" si="1"/>
        <v>-7128200.896590757</v>
      </c>
      <c r="J23" s="148">
        <f t="shared" si="2"/>
        <v>2331196.906168581</v>
      </c>
    </row>
    <row r="24" spans="1:10" ht="15">
      <c r="A24" s="112">
        <v>2014</v>
      </c>
      <c r="B24" s="97">
        <v>0</v>
      </c>
      <c r="C24" s="58">
        <f t="shared" si="3"/>
        <v>618116.5919074706</v>
      </c>
      <c r="D24" s="58">
        <f t="shared" si="4"/>
        <v>9299175.086553067</v>
      </c>
      <c r="E24" s="80">
        <f t="shared" si="0"/>
        <v>9917291.678460538</v>
      </c>
      <c r="F24" s="58">
        <f t="shared" si="5"/>
        <v>-5874889.4593521105</v>
      </c>
      <c r="G24" s="49">
        <f>-(8639464-1112094-6068421)</f>
        <v>-1458949</v>
      </c>
      <c r="H24" s="49">
        <f>-208269</f>
        <v>-208269</v>
      </c>
      <c r="I24" s="80">
        <f t="shared" si="1"/>
        <v>-7542107.4593521105</v>
      </c>
      <c r="J24" s="148">
        <f t="shared" si="2"/>
        <v>2375184.219108428</v>
      </c>
    </row>
    <row r="25" spans="1:10" ht="15">
      <c r="A25" s="112">
        <v>2015</v>
      </c>
      <c r="B25" s="97">
        <v>0</v>
      </c>
      <c r="C25" s="58">
        <f t="shared" si="3"/>
        <v>633569.5067051573</v>
      </c>
      <c r="D25" s="58">
        <f t="shared" si="4"/>
        <v>9764133.84088072</v>
      </c>
      <c r="E25" s="80">
        <f t="shared" si="0"/>
        <v>10397703.347585877</v>
      </c>
      <c r="F25" s="58">
        <f t="shared" si="5"/>
        <v>-6286131.721506759</v>
      </c>
      <c r="G25" s="49">
        <f>-(9111785-1112094-6526587)</f>
        <v>-1473104</v>
      </c>
      <c r="H25" s="49">
        <f>-227326</f>
        <v>-227326</v>
      </c>
      <c r="I25" s="80">
        <f t="shared" si="1"/>
        <v>-7986561.721506759</v>
      </c>
      <c r="J25" s="148">
        <f t="shared" si="2"/>
        <v>2411141.626079119</v>
      </c>
    </row>
    <row r="26" spans="1:10" ht="15">
      <c r="A26" s="112">
        <v>2016</v>
      </c>
      <c r="B26" s="97">
        <v>0</v>
      </c>
      <c r="C26" s="58">
        <f>C25*(1+$C$14)</f>
        <v>649408.7443727863</v>
      </c>
      <c r="D26" s="58">
        <f>D25*(1+$D$14)</f>
        <v>10252340.532924756</v>
      </c>
      <c r="E26" s="80">
        <f t="shared" si="0"/>
        <v>10901749.277297543</v>
      </c>
      <c r="F26" s="58">
        <f t="shared" si="5"/>
        <v>-6726160.942012232</v>
      </c>
      <c r="G26" s="49">
        <f>-(4564062-3263293-556047)*12/6</f>
        <v>-1489444</v>
      </c>
      <c r="H26" s="49">
        <f>-124100*12/6</f>
        <v>-248200</v>
      </c>
      <c r="I26" s="80">
        <f t="shared" si="1"/>
        <v>-8463804.942012232</v>
      </c>
      <c r="J26" s="148">
        <f t="shared" si="2"/>
        <v>2437944.3352853116</v>
      </c>
    </row>
    <row r="27" spans="1:10" ht="15">
      <c r="A27" s="17"/>
      <c r="B27" s="17"/>
      <c r="C27" s="17"/>
      <c r="D27" s="17"/>
      <c r="E27" s="112"/>
      <c r="F27" s="17"/>
      <c r="G27" s="57"/>
      <c r="H27" s="57"/>
      <c r="I27" s="73"/>
      <c r="J27" s="149">
        <f>IRR(J16:J26)</f>
        <v>0.11132302920160868</v>
      </c>
    </row>
    <row r="28" spans="1:10" ht="15">
      <c r="A28" s="17"/>
      <c r="B28" s="17"/>
      <c r="C28" s="17"/>
      <c r="D28" s="17"/>
      <c r="E28" s="17"/>
      <c r="F28" s="17"/>
      <c r="G28" s="17"/>
      <c r="H28" s="17"/>
      <c r="I28" s="17"/>
      <c r="J28" s="17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5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9"/>
  <sheetViews>
    <sheetView showGridLines="0" tabSelected="1" zoomScalePageLayoutView="0" workbookViewId="0" topLeftCell="A1">
      <pane ySplit="12" topLeftCell="BM13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10.8515625" style="0" customWidth="1"/>
    <col min="2" max="2" width="14.421875" style="0" customWidth="1"/>
    <col min="3" max="3" width="13.421875" style="0" bestFit="1" customWidth="1"/>
    <col min="4" max="4" width="12.8515625" style="0" customWidth="1"/>
    <col min="5" max="5" width="16.8515625" style="0" customWidth="1"/>
    <col min="6" max="6" width="14.7109375" style="0" customWidth="1"/>
    <col min="7" max="7" width="13.7109375" style="0" customWidth="1"/>
    <col min="8" max="8" width="19.421875" style="0" customWidth="1"/>
    <col min="9" max="9" width="14.8515625" style="0" customWidth="1"/>
    <col min="10" max="10" width="16.421875" style="0" customWidth="1"/>
    <col min="11" max="11" width="22.00390625" style="0" customWidth="1"/>
    <col min="12" max="12" width="23.421875" style="0" customWidth="1"/>
    <col min="13" max="16384" width="9.140625" style="0" customWidth="1"/>
  </cols>
  <sheetData>
    <row r="2" spans="1:9" ht="15">
      <c r="A2" s="57" t="s">
        <v>148</v>
      </c>
      <c r="B2" s="17"/>
      <c r="C2" s="17"/>
      <c r="D2" s="17"/>
      <c r="E2" s="17"/>
      <c r="G2" s="3" t="s">
        <v>332</v>
      </c>
      <c r="I2" s="4"/>
    </row>
    <row r="3" spans="1:9" ht="15">
      <c r="A3" s="17" t="s">
        <v>134</v>
      </c>
      <c r="B3" s="17"/>
      <c r="C3" s="17"/>
      <c r="D3" s="17"/>
      <c r="E3" s="49">
        <v>12499720</v>
      </c>
      <c r="G3" t="s">
        <v>386</v>
      </c>
      <c r="I3" s="10"/>
    </row>
    <row r="4" spans="1:9" ht="15">
      <c r="A4" s="17" t="s">
        <v>135</v>
      </c>
      <c r="B4" s="17"/>
      <c r="C4" s="17"/>
      <c r="D4" s="17"/>
      <c r="E4" s="17"/>
      <c r="G4" t="s">
        <v>157</v>
      </c>
      <c r="I4" s="10">
        <f>J28</f>
        <v>0.15158487582537553</v>
      </c>
    </row>
    <row r="5" spans="1:9" ht="15">
      <c r="A5" s="17" t="s">
        <v>385</v>
      </c>
      <c r="B5" s="17"/>
      <c r="C5" s="17"/>
      <c r="D5" s="17" t="s">
        <v>95</v>
      </c>
      <c r="E5" s="166">
        <f>0.95*(EMISSION!G34/EMISSION!G4)</f>
        <v>100332.66666666666</v>
      </c>
      <c r="I5" s="10"/>
    </row>
    <row r="6" spans="1:9" ht="15">
      <c r="A6" s="17" t="s">
        <v>136</v>
      </c>
      <c r="B6" s="17"/>
      <c r="C6" s="17"/>
      <c r="D6" s="17" t="s">
        <v>137</v>
      </c>
      <c r="E6" s="66">
        <v>9500</v>
      </c>
      <c r="I6" s="1"/>
    </row>
    <row r="7" spans="1:5" ht="15">
      <c r="A7" s="17" t="s">
        <v>139</v>
      </c>
      <c r="B7" s="17"/>
      <c r="C7" s="17"/>
      <c r="D7" s="67" t="s">
        <v>140</v>
      </c>
      <c r="E7" s="68">
        <v>5</v>
      </c>
    </row>
    <row r="8" spans="1:5" ht="15">
      <c r="A8" s="17" t="s">
        <v>138</v>
      </c>
      <c r="B8" s="17"/>
      <c r="C8" s="17"/>
      <c r="D8" s="67" t="s">
        <v>141</v>
      </c>
      <c r="E8" s="69">
        <f>E7/1054*10^6</f>
        <v>4743.833017077799</v>
      </c>
    </row>
    <row r="9" spans="1:5" ht="15">
      <c r="A9" s="17" t="s">
        <v>142</v>
      </c>
      <c r="B9" s="17"/>
      <c r="C9" s="17"/>
      <c r="D9" s="67" t="s">
        <v>143</v>
      </c>
      <c r="E9" s="161">
        <f>60*1000/E6</f>
        <v>6.315789473684211</v>
      </c>
    </row>
    <row r="10" spans="1:5" ht="15">
      <c r="A10" s="17" t="s">
        <v>145</v>
      </c>
      <c r="B10" s="17"/>
      <c r="C10" s="17"/>
      <c r="D10" s="67" t="s">
        <v>144</v>
      </c>
      <c r="E10" s="70">
        <f>680.94/E6</f>
        <v>0.07167789473684211</v>
      </c>
    </row>
    <row r="11" spans="1:5" ht="15">
      <c r="A11" s="17" t="s">
        <v>146</v>
      </c>
      <c r="B11" s="17"/>
      <c r="C11" s="17"/>
      <c r="D11" s="67" t="s">
        <v>144</v>
      </c>
      <c r="E11" s="70">
        <f>E10*0.97</f>
        <v>0.06952755789473684</v>
      </c>
    </row>
    <row r="12" spans="1:5" ht="15">
      <c r="A12" s="17" t="s">
        <v>156</v>
      </c>
      <c r="B12" s="17"/>
      <c r="C12" s="17"/>
      <c r="D12" s="67"/>
      <c r="E12" s="71">
        <v>12</v>
      </c>
    </row>
    <row r="14" spans="1:12" ht="15">
      <c r="A14" s="57" t="s">
        <v>147</v>
      </c>
      <c r="B14" s="112"/>
      <c r="C14" s="103" t="s">
        <v>151</v>
      </c>
      <c r="D14" s="103"/>
      <c r="E14" s="152"/>
      <c r="F14" s="103"/>
      <c r="G14" s="103" t="s">
        <v>356</v>
      </c>
      <c r="H14" s="103"/>
      <c r="I14" s="152"/>
      <c r="J14" s="162" t="s">
        <v>361</v>
      </c>
      <c r="K14" s="184" t="s">
        <v>362</v>
      </c>
      <c r="L14" s="185"/>
    </row>
    <row r="15" spans="1:12" ht="31.5" customHeight="1">
      <c r="A15" s="57" t="s">
        <v>154</v>
      </c>
      <c r="B15" s="112"/>
      <c r="C15" s="105">
        <v>0.025</v>
      </c>
      <c r="D15" s="105">
        <v>0.05</v>
      </c>
      <c r="E15" s="116">
        <v>0</v>
      </c>
      <c r="F15" s="64">
        <v>0.07</v>
      </c>
      <c r="G15" s="51"/>
      <c r="H15" s="51"/>
      <c r="I15" s="82"/>
      <c r="J15" s="163"/>
      <c r="K15" s="121"/>
      <c r="L15" s="159"/>
    </row>
    <row r="16" spans="1:12" ht="45">
      <c r="A16" s="150" t="s">
        <v>149</v>
      </c>
      <c r="B16" s="151" t="s">
        <v>150</v>
      </c>
      <c r="C16" s="106" t="s">
        <v>152</v>
      </c>
      <c r="D16" s="106" t="s">
        <v>153</v>
      </c>
      <c r="E16" s="153" t="s">
        <v>359</v>
      </c>
      <c r="F16" s="106" t="s">
        <v>125</v>
      </c>
      <c r="G16" s="104" t="s">
        <v>357</v>
      </c>
      <c r="H16" s="107" t="s">
        <v>358</v>
      </c>
      <c r="I16" s="154" t="s">
        <v>360</v>
      </c>
      <c r="J16" s="164"/>
      <c r="K16" s="155" t="s">
        <v>362</v>
      </c>
      <c r="L16" s="158" t="s">
        <v>371</v>
      </c>
    </row>
    <row r="17" spans="1:12" ht="15">
      <c r="A17" s="112">
        <v>0</v>
      </c>
      <c r="B17" s="97">
        <f>-E3</f>
        <v>-12499720</v>
      </c>
      <c r="C17" s="58">
        <v>0</v>
      </c>
      <c r="D17" s="58">
        <v>0</v>
      </c>
      <c r="E17" s="80">
        <v>0</v>
      </c>
      <c r="F17" s="58">
        <v>0</v>
      </c>
      <c r="G17" s="58">
        <v>0</v>
      </c>
      <c r="H17" s="58">
        <v>0</v>
      </c>
      <c r="I17" s="83">
        <v>0</v>
      </c>
      <c r="J17" s="164">
        <f>B17+E17+I17</f>
        <v>-12499720</v>
      </c>
      <c r="K17" s="52">
        <v>0</v>
      </c>
      <c r="L17" s="84">
        <f>J17+K17</f>
        <v>-12499720</v>
      </c>
    </row>
    <row r="18" spans="1:12" ht="15">
      <c r="A18" s="112">
        <v>2007</v>
      </c>
      <c r="B18" s="97">
        <v>0</v>
      </c>
      <c r="C18" s="58">
        <f>EMISSION!G6*'FSA-3'!E9*EMISSION!G8</f>
        <v>480000</v>
      </c>
      <c r="D18" s="58">
        <f>E5*'FSA-3'!E11*10^3</f>
        <v>6975885.290399999</v>
      </c>
      <c r="E18" s="80">
        <f>C18+D18</f>
        <v>7455885.290399999</v>
      </c>
      <c r="F18" s="58">
        <f>-EMISSION!G$41*EMISSION!G42*EMISSION!G$43*E$8</f>
        <v>-3914686.907020873</v>
      </c>
      <c r="G18" s="49">
        <f>-(4798069-741396-3109822)*12/8</f>
        <v>-1420276.5</v>
      </c>
      <c r="H18" s="49">
        <f>-(138691-40624)*12/8</f>
        <v>-147100.5</v>
      </c>
      <c r="I18" s="80">
        <f>F18+G18+H18</f>
        <v>-5482063.907020872</v>
      </c>
      <c r="J18" s="164">
        <f>B18+E18+I18</f>
        <v>1973821.383379127</v>
      </c>
      <c r="K18" s="60">
        <f>EMISSION!G65*FINANCE!E11</f>
        <v>511462.224</v>
      </c>
      <c r="L18" s="86">
        <f>J18+K18</f>
        <v>2485283.607379127</v>
      </c>
    </row>
    <row r="19" spans="1:12" ht="15">
      <c r="A19" s="112">
        <v>2008</v>
      </c>
      <c r="B19" s="97">
        <v>0</v>
      </c>
      <c r="C19" s="58">
        <f>C18*(1+$C$15)</f>
        <v>491999.99999999994</v>
      </c>
      <c r="D19" s="58">
        <f>D18*(1+$D$15)</f>
        <v>7324679.55492</v>
      </c>
      <c r="E19" s="80">
        <f aca="true" t="shared" si="0" ref="E19:E27">C19+D19</f>
        <v>7816679.55492</v>
      </c>
      <c r="F19" s="58">
        <f>-EMISSION!G$41*EMISSION!G42*EMISSION!G$43*E$8</f>
        <v>-3914686.907020873</v>
      </c>
      <c r="G19" s="49">
        <f>-(7186840-1112094-4664733)</f>
        <v>-1410013</v>
      </c>
      <c r="H19" s="49">
        <f>-123996</f>
        <v>-123996</v>
      </c>
      <c r="I19" s="80">
        <f aca="true" t="shared" si="1" ref="I19:I27">F19+G19+H19</f>
        <v>-5448695.907020872</v>
      </c>
      <c r="J19" s="164">
        <f aca="true" t="shared" si="2" ref="J19:J27">B19+E19+I19</f>
        <v>2367983.6478991276</v>
      </c>
      <c r="K19" s="52">
        <f>K18</f>
        <v>511462.224</v>
      </c>
      <c r="L19" s="84">
        <f aca="true" t="shared" si="3" ref="L19:L27">J19+K19</f>
        <v>2879445.8718991275</v>
      </c>
    </row>
    <row r="20" spans="1:12" ht="15">
      <c r="A20" s="112">
        <v>2009</v>
      </c>
      <c r="B20" s="97">
        <v>0</v>
      </c>
      <c r="C20" s="58">
        <f aca="true" t="shared" si="4" ref="C20:C26">C19*(1+$C$15)</f>
        <v>504299.9999999999</v>
      </c>
      <c r="D20" s="58">
        <f aca="true" t="shared" si="5" ref="D20:D26">D19*(1+$D$15)</f>
        <v>7690913.532666001</v>
      </c>
      <c r="E20" s="80">
        <f t="shared" si="0"/>
        <v>8195213.532666001</v>
      </c>
      <c r="F20" s="58">
        <f>-EMISSION!G$41*EMISSION!G42*EMISSION!G$43*E$8*(1+F$15)</f>
        <v>-4188714.9905123343</v>
      </c>
      <c r="G20" s="49">
        <f>-(7191459-1112094-4664733)</f>
        <v>-1414632</v>
      </c>
      <c r="H20" s="49">
        <f>-135075</f>
        <v>-135075</v>
      </c>
      <c r="I20" s="80">
        <f t="shared" si="1"/>
        <v>-5738421.990512334</v>
      </c>
      <c r="J20" s="164">
        <f t="shared" si="2"/>
        <v>2456791.5421536667</v>
      </c>
      <c r="K20" s="60">
        <f aca="true" t="shared" si="6" ref="K20:K27">K19</f>
        <v>511462.224</v>
      </c>
      <c r="L20" s="86">
        <f t="shared" si="3"/>
        <v>2968253.7661536667</v>
      </c>
    </row>
    <row r="21" spans="1:12" ht="15">
      <c r="A21" s="112">
        <v>2010</v>
      </c>
      <c r="B21" s="97">
        <v>0</v>
      </c>
      <c r="C21" s="58">
        <f t="shared" si="4"/>
        <v>516907.4999999998</v>
      </c>
      <c r="D21" s="58">
        <f t="shared" si="5"/>
        <v>8075459.209299301</v>
      </c>
      <c r="E21" s="80">
        <f t="shared" si="0"/>
        <v>8592366.7092993</v>
      </c>
      <c r="F21" s="58">
        <f aca="true" t="shared" si="7" ref="F21:F27">F20*(1+F$15)</f>
        <v>-4481925.039848198</v>
      </c>
      <c r="G21" s="49">
        <f>-(7663789-1112094-5131206)</f>
        <v>-1420489</v>
      </c>
      <c r="H21" s="49">
        <f>-147196</f>
        <v>-147196</v>
      </c>
      <c r="I21" s="80">
        <f t="shared" si="1"/>
        <v>-6049610.039848198</v>
      </c>
      <c r="J21" s="164">
        <f t="shared" si="2"/>
        <v>2542756.6694511017</v>
      </c>
      <c r="K21" s="52">
        <f t="shared" si="6"/>
        <v>511462.224</v>
      </c>
      <c r="L21" s="84">
        <f t="shared" si="3"/>
        <v>3054218.8934511016</v>
      </c>
    </row>
    <row r="22" spans="1:12" ht="15">
      <c r="A22" s="112">
        <v>2011</v>
      </c>
      <c r="B22" s="97">
        <v>0</v>
      </c>
      <c r="C22" s="58">
        <f t="shared" si="4"/>
        <v>529830.1874999998</v>
      </c>
      <c r="D22" s="58">
        <f t="shared" si="5"/>
        <v>8479232.169764265</v>
      </c>
      <c r="E22" s="80">
        <f t="shared" si="0"/>
        <v>9009062.357264265</v>
      </c>
      <c r="F22" s="58">
        <f t="shared" si="7"/>
        <v>-4795659.792637573</v>
      </c>
      <c r="G22" s="49">
        <f>-(7671008-1112094-5131206)</f>
        <v>-1427708</v>
      </c>
      <c r="H22" s="49">
        <f>-160459</f>
        <v>-160459</v>
      </c>
      <c r="I22" s="80">
        <f t="shared" si="1"/>
        <v>-6383826.792637573</v>
      </c>
      <c r="J22" s="164">
        <f t="shared" si="2"/>
        <v>2625235.564626693</v>
      </c>
      <c r="K22" s="60">
        <f t="shared" si="6"/>
        <v>511462.224</v>
      </c>
      <c r="L22" s="86">
        <f t="shared" si="3"/>
        <v>3136697.7886266927</v>
      </c>
    </row>
    <row r="23" spans="1:12" ht="15">
      <c r="A23" s="112">
        <v>2012</v>
      </c>
      <c r="B23" s="97">
        <v>0</v>
      </c>
      <c r="C23" s="58">
        <f t="shared" si="4"/>
        <v>543075.9421874997</v>
      </c>
      <c r="D23" s="58">
        <f t="shared" si="5"/>
        <v>8903193.778252479</v>
      </c>
      <c r="E23" s="80">
        <f t="shared" si="0"/>
        <v>9446269.720439978</v>
      </c>
      <c r="F23" s="58">
        <f t="shared" si="7"/>
        <v>-5131355.978122203</v>
      </c>
      <c r="G23" s="49">
        <f>-(8141531-1112094-5593015)</f>
        <v>-1436422</v>
      </c>
      <c r="H23" s="49">
        <f>-174976</f>
        <v>-174976</v>
      </c>
      <c r="I23" s="80">
        <f t="shared" si="1"/>
        <v>-6742753.978122203</v>
      </c>
      <c r="J23" s="164">
        <f t="shared" si="2"/>
        <v>2703515.7423177753</v>
      </c>
      <c r="K23" s="52">
        <f t="shared" si="6"/>
        <v>511462.224</v>
      </c>
      <c r="L23" s="84">
        <f t="shared" si="3"/>
        <v>3214977.966317775</v>
      </c>
    </row>
    <row r="24" spans="1:12" ht="15">
      <c r="A24" s="112">
        <v>2013</v>
      </c>
      <c r="B24" s="97">
        <v>0</v>
      </c>
      <c r="C24" s="58">
        <f t="shared" si="4"/>
        <v>556652.8407421871</v>
      </c>
      <c r="D24" s="58">
        <f t="shared" si="5"/>
        <v>9348353.467165103</v>
      </c>
      <c r="E24" s="80">
        <f t="shared" si="0"/>
        <v>9905006.30790729</v>
      </c>
      <c r="F24" s="58">
        <f t="shared" si="7"/>
        <v>-5490550.896590757</v>
      </c>
      <c r="G24" s="49">
        <f>-(8627297-1112094-6068421)</f>
        <v>-1446782</v>
      </c>
      <c r="H24" s="49">
        <f>-190868</f>
        <v>-190868</v>
      </c>
      <c r="I24" s="80">
        <f t="shared" si="1"/>
        <v>-7128200.896590757</v>
      </c>
      <c r="J24" s="164">
        <f t="shared" si="2"/>
        <v>2776805.4113165336</v>
      </c>
      <c r="K24" s="60">
        <f t="shared" si="6"/>
        <v>511462.224</v>
      </c>
      <c r="L24" s="86">
        <f t="shared" si="3"/>
        <v>3288267.6353165335</v>
      </c>
    </row>
    <row r="25" spans="1:12" ht="15">
      <c r="A25" s="112">
        <v>2014</v>
      </c>
      <c r="B25" s="97">
        <v>0</v>
      </c>
      <c r="C25" s="58">
        <f t="shared" si="4"/>
        <v>570569.1617607417</v>
      </c>
      <c r="D25" s="58">
        <f t="shared" si="5"/>
        <v>9815771.14052336</v>
      </c>
      <c r="E25" s="80">
        <f t="shared" si="0"/>
        <v>10386340.302284101</v>
      </c>
      <c r="F25" s="58">
        <f t="shared" si="7"/>
        <v>-5874889.4593521105</v>
      </c>
      <c r="G25" s="49">
        <f>-(8639464-1112094-6068421)</f>
        <v>-1458949</v>
      </c>
      <c r="H25" s="49">
        <f>-208269</f>
        <v>-208269</v>
      </c>
      <c r="I25" s="80">
        <f t="shared" si="1"/>
        <v>-7542107.4593521105</v>
      </c>
      <c r="J25" s="164">
        <f t="shared" si="2"/>
        <v>2844232.8429319905</v>
      </c>
      <c r="K25" s="52">
        <f t="shared" si="6"/>
        <v>511462.224</v>
      </c>
      <c r="L25" s="84">
        <f t="shared" si="3"/>
        <v>3355695.0669319904</v>
      </c>
    </row>
    <row r="26" spans="1:12" ht="15">
      <c r="A26" s="112">
        <v>2015</v>
      </c>
      <c r="B26" s="97">
        <v>0</v>
      </c>
      <c r="C26" s="58">
        <f t="shared" si="4"/>
        <v>584833.3908047603</v>
      </c>
      <c r="D26" s="58">
        <f t="shared" si="5"/>
        <v>10306559.697549528</v>
      </c>
      <c r="E26" s="80">
        <f t="shared" si="0"/>
        <v>10891393.088354288</v>
      </c>
      <c r="F26" s="58">
        <f t="shared" si="7"/>
        <v>-6286131.721506759</v>
      </c>
      <c r="G26" s="49">
        <f>-(9111785-1112094-6526587)</f>
        <v>-1473104</v>
      </c>
      <c r="H26" s="49">
        <f>-227326</f>
        <v>-227326</v>
      </c>
      <c r="I26" s="80">
        <f t="shared" si="1"/>
        <v>-7986561.721506759</v>
      </c>
      <c r="J26" s="164">
        <f t="shared" si="2"/>
        <v>2904831.366847529</v>
      </c>
      <c r="K26" s="60">
        <f t="shared" si="6"/>
        <v>511462.224</v>
      </c>
      <c r="L26" s="86">
        <f t="shared" si="3"/>
        <v>3416293.590847529</v>
      </c>
    </row>
    <row r="27" spans="1:12" ht="15">
      <c r="A27" s="112">
        <v>2016</v>
      </c>
      <c r="B27" s="97">
        <v>0</v>
      </c>
      <c r="C27" s="58">
        <f>C26*(1+$C$15)</f>
        <v>599454.2255748792</v>
      </c>
      <c r="D27" s="58">
        <f>D26*(1+$D$15)</f>
        <v>10821887.682427004</v>
      </c>
      <c r="E27" s="80">
        <f t="shared" si="0"/>
        <v>11421341.908001883</v>
      </c>
      <c r="F27" s="58">
        <f t="shared" si="7"/>
        <v>-6726160.942012232</v>
      </c>
      <c r="G27" s="49">
        <f>-(4564062-3263293-556047)*12/6</f>
        <v>-1489444</v>
      </c>
      <c r="H27" s="49">
        <f>-124100*12/6</f>
        <v>-248200</v>
      </c>
      <c r="I27" s="80">
        <f t="shared" si="1"/>
        <v>-8463804.942012232</v>
      </c>
      <c r="J27" s="164">
        <f t="shared" si="2"/>
        <v>2957536.965989651</v>
      </c>
      <c r="K27" s="52">
        <f t="shared" si="6"/>
        <v>511462.224</v>
      </c>
      <c r="L27" s="84">
        <f t="shared" si="3"/>
        <v>3468999.189989651</v>
      </c>
    </row>
    <row r="28" spans="1:12" ht="15">
      <c r="A28" s="17"/>
      <c r="B28" s="17"/>
      <c r="C28" s="17"/>
      <c r="D28" s="17"/>
      <c r="E28" s="112"/>
      <c r="F28" s="17"/>
      <c r="G28" s="57"/>
      <c r="H28" s="57"/>
      <c r="I28" s="73"/>
      <c r="J28" s="165">
        <f>IRR(J17:J27)</f>
        <v>0.15158487582537553</v>
      </c>
      <c r="K28" s="156"/>
      <c r="L28" s="157">
        <f>IRR(L17:L27)</f>
        <v>0.2004297936999895</v>
      </c>
    </row>
    <row r="29" spans="1:10" ht="15">
      <c r="A29" s="17"/>
      <c r="B29" s="17"/>
      <c r="C29" s="17"/>
      <c r="D29" s="17"/>
      <c r="E29" s="17"/>
      <c r="F29" s="17"/>
      <c r="G29" s="17"/>
      <c r="H29" s="17"/>
      <c r="I29" s="17"/>
      <c r="J29" s="17"/>
    </row>
  </sheetData>
  <sheetProtection/>
  <mergeCells count="1">
    <mergeCell ref="K14:L14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4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showGridLines="0" tabSelected="1" zoomScalePageLayoutView="0" workbookViewId="0" topLeftCell="A70">
      <selection activeCell="A1" sqref="A1"/>
    </sheetView>
  </sheetViews>
  <sheetFormatPr defaultColWidth="13.57421875" defaultRowHeight="15" customHeight="1"/>
  <cols>
    <col min="1" max="1" width="18.140625" style="11" customWidth="1"/>
    <col min="2" max="2" width="26.57421875" style="11" customWidth="1"/>
    <col min="3" max="3" width="15.00390625" style="11" customWidth="1"/>
    <col min="4" max="4" width="14.8515625" style="11" customWidth="1"/>
    <col min="5" max="5" width="15.57421875" style="11" customWidth="1"/>
    <col min="6" max="6" width="17.140625" style="11" customWidth="1"/>
    <col min="7" max="7" width="14.00390625" style="11" customWidth="1"/>
    <col min="8" max="10" width="9.140625" style="11" customWidth="1"/>
    <col min="11" max="13" width="14.57421875" style="11" customWidth="1"/>
    <col min="14" max="250" width="9.140625" style="11" customWidth="1"/>
    <col min="251" max="16384" width="13.57421875" style="11" customWidth="1"/>
  </cols>
  <sheetData>
    <row r="1" spans="1:7" ht="15" customHeight="1">
      <c r="A1"/>
      <c r="B1"/>
      <c r="C1"/>
      <c r="D1"/>
      <c r="E1"/>
      <c r="F1"/>
      <c r="G1"/>
    </row>
    <row r="2" spans="1:7" ht="15" customHeight="1">
      <c r="A2" t="s">
        <v>55</v>
      </c>
      <c r="B2"/>
      <c r="C2"/>
      <c r="D2"/>
      <c r="E2"/>
      <c r="F2"/>
      <c r="G2"/>
    </row>
    <row r="3" spans="1:7" ht="15" customHeight="1">
      <c r="A3" t="s">
        <v>56</v>
      </c>
      <c r="B3"/>
      <c r="C3"/>
      <c r="D3"/>
      <c r="E3"/>
      <c r="F3"/>
      <c r="G3"/>
    </row>
    <row r="4" spans="1:7" ht="15" customHeight="1">
      <c r="A4"/>
      <c r="B4"/>
      <c r="C4"/>
      <c r="D4" t="s">
        <v>59</v>
      </c>
      <c r="E4"/>
      <c r="F4"/>
      <c r="G4"/>
    </row>
    <row r="5" spans="1:7" ht="15" customHeight="1">
      <c r="A5" t="s">
        <v>58</v>
      </c>
      <c r="B5" t="s">
        <v>61</v>
      </c>
      <c r="C5">
        <v>2006</v>
      </c>
      <c r="D5">
        <v>2005</v>
      </c>
      <c r="E5">
        <v>2004</v>
      </c>
      <c r="F5">
        <v>2003</v>
      </c>
      <c r="G5">
        <v>2002</v>
      </c>
    </row>
    <row r="6" spans="1:7" ht="15" customHeight="1">
      <c r="A6" t="s">
        <v>63</v>
      </c>
      <c r="B6" t="s">
        <v>64</v>
      </c>
      <c r="C6" s="6">
        <f>GETPIVOTDATA(" Generation (GWh)",'RD-2006DataAnalysis'!$A$22,"Type","PLTA")</f>
        <v>5207.668622336321</v>
      </c>
      <c r="D6" s="6">
        <f>6247.79+'RD-2005IPP'!B20</f>
        <v>7090.79</v>
      </c>
      <c r="E6" s="6">
        <f>1.53+0.28+2.07+3258.06+2166.28</f>
        <v>5428.22</v>
      </c>
      <c r="F6" s="6">
        <f>4.24+0.52+1.33+2967.56+1917.67</f>
        <v>4891.32</v>
      </c>
      <c r="G6" s="6">
        <f>4.27+0.28+2.52+3486.77+2489.29</f>
        <v>5983.13</v>
      </c>
    </row>
    <row r="7" spans="1:7" ht="15" customHeight="1">
      <c r="A7" t="s">
        <v>65</v>
      </c>
      <c r="B7"/>
      <c r="C7" s="6">
        <f>GETPIVOTDATA(" Generation (GWh)",'RD-2006DataAnalysis'!$A$22,"Type","PLTU")</f>
        <v>64628.7479427974</v>
      </c>
      <c r="D7" s="6">
        <f>37264.1+'RD-2005IPP'!B21</f>
        <v>55699.1</v>
      </c>
      <c r="E7" s="6">
        <f>24870.8+12163.78</f>
        <v>37034.58</v>
      </c>
      <c r="F7" s="6">
        <f>25717.99+11808.43</f>
        <v>37526.42</v>
      </c>
      <c r="G7" s="6">
        <f>23138.75+11140.46</f>
        <v>34279.21</v>
      </c>
    </row>
    <row r="8" spans="1:7" ht="15" customHeight="1">
      <c r="A8" t="s">
        <v>67</v>
      </c>
      <c r="B8"/>
      <c r="C8" s="6">
        <f>GETPIVOTDATA(" Generation (GWh)",'RD-2006DataAnalysis'!$A$22,"Type","PLTG")</f>
        <v>1890.6436107614159</v>
      </c>
      <c r="D8" s="6">
        <f>4748.5+'RD-2005IPP'!B22</f>
        <v>5293.5</v>
      </c>
      <c r="E8" s="6">
        <f>1941.9+205.96</f>
        <v>2147.86</v>
      </c>
      <c r="F8" s="6">
        <f>1608.46+77.22</f>
        <v>1685.68</v>
      </c>
      <c r="G8" s="6">
        <f>1035.04+56.04</f>
        <v>1091.08</v>
      </c>
    </row>
    <row r="9" spans="1:7" ht="15" customHeight="1">
      <c r="A9" t="s">
        <v>69</v>
      </c>
      <c r="B9"/>
      <c r="C9" s="6">
        <f>GETPIVOTDATA(" Generation (GWh)",'RD-2006DataAnalysis'!$A$22,"Type","PLTGU")</f>
        <v>26939.12439658674</v>
      </c>
      <c r="D9" s="6">
        <f>26184.8+'RD-2005IPP'!B23</f>
        <v>26184.8</v>
      </c>
      <c r="E9" s="6">
        <f>11287.17+13372.08+816.55</f>
        <v>25475.8</v>
      </c>
      <c r="F9" s="6">
        <f>11200.88+12616.5</f>
        <v>23817.379999999997</v>
      </c>
      <c r="G9" s="6">
        <f>10846.49+13425.82</f>
        <v>24272.309999999998</v>
      </c>
    </row>
    <row r="10" spans="1:7" ht="15" customHeight="1">
      <c r="A10" t="s">
        <v>70</v>
      </c>
      <c r="B10" t="s">
        <v>60</v>
      </c>
      <c r="C10" s="6">
        <f>GETPIVOTDATA(" Generation (GWh)",'RD-2006DataAnalysis'!$A$22,"Type","PLTP")</f>
        <v>6499.760884520843</v>
      </c>
      <c r="D10" s="6">
        <f>2870.25+'RD-2005IPP'!B24</f>
        <v>6466.25</v>
      </c>
      <c r="E10" s="6">
        <f>2988.24</f>
        <v>2988.24</v>
      </c>
      <c r="F10" s="6">
        <f>2803.52</f>
        <v>2803.52</v>
      </c>
      <c r="G10" s="6">
        <f>3055.7</f>
        <v>3055.7</v>
      </c>
    </row>
    <row r="11" spans="1:7" ht="15" customHeight="1">
      <c r="A11" t="s">
        <v>71</v>
      </c>
      <c r="B11"/>
      <c r="C11" s="6">
        <f>GETPIVOTDATA(" Generation (GWh)",'RD-2006DataAnalysis'!$A$22,"Type","PLTD")</f>
        <v>108.20288310534359</v>
      </c>
      <c r="D11" s="6">
        <f>145.85+9.34+5.96+'RD-2005IPP'!B25</f>
        <v>161.15</v>
      </c>
      <c r="E11" s="6">
        <f>5.09+80.1+8.9</f>
        <v>94.09</v>
      </c>
      <c r="F11" s="6">
        <f>4.7+15.52+0.36+96.65</f>
        <v>117.23</v>
      </c>
      <c r="G11" s="6">
        <f>4.46+13.52+0.19+92.35</f>
        <v>110.52</v>
      </c>
    </row>
    <row r="12" spans="1:7" ht="15" customHeight="1">
      <c r="A12" t="s">
        <v>160</v>
      </c>
      <c r="B12" t="s">
        <v>316</v>
      </c>
      <c r="C12" s="6"/>
      <c r="D12" s="6"/>
      <c r="E12" s="6">
        <v>22236</v>
      </c>
      <c r="F12" s="6">
        <v>19110</v>
      </c>
      <c r="G12" s="6">
        <v>13425</v>
      </c>
    </row>
    <row r="13" spans="1:7" ht="15" customHeight="1">
      <c r="A13" t="s">
        <v>72</v>
      </c>
      <c r="B13"/>
      <c r="C13" s="6">
        <f>SUM(C6:C12)</f>
        <v>105274.14834010806</v>
      </c>
      <c r="D13" s="6">
        <f>SUM(D6:D12)</f>
        <v>100895.59</v>
      </c>
      <c r="E13" s="6">
        <f>SUM(E6:E12)</f>
        <v>95404.79000000001</v>
      </c>
      <c r="F13" s="6">
        <f>SUM(F6:F12)</f>
        <v>89951.54999999999</v>
      </c>
      <c r="G13" s="6">
        <f>SUM(G6:G12)</f>
        <v>82216.95</v>
      </c>
    </row>
    <row r="14" spans="1:7" ht="15" customHeight="1">
      <c r="A14" t="s">
        <v>193</v>
      </c>
      <c r="B14"/>
      <c r="C14" s="2">
        <f>(C6+C10+C12)/C13</f>
        <v>0.11120896907219897</v>
      </c>
      <c r="D14" s="2">
        <f>(D6+D10+D12)/D13</f>
        <v>0.1343670223842291</v>
      </c>
      <c r="E14" s="2">
        <f>(E6+E10+E12)/E13</f>
        <v>0.3212884803792346</v>
      </c>
      <c r="F14" s="2">
        <f>(F6+F10+F12)/F13</f>
        <v>0.29799197456853166</v>
      </c>
      <c r="G14" s="2">
        <f>(G6+G10+G12)/G13</f>
        <v>0.27322626295429353</v>
      </c>
    </row>
    <row r="15" spans="1:7" ht="15" customHeight="1">
      <c r="A15"/>
      <c r="B15"/>
      <c r="C15"/>
      <c r="D15"/>
      <c r="E15"/>
      <c r="F15" s="17"/>
      <c r="G15" s="17"/>
    </row>
    <row r="16" spans="1:7" ht="15" customHeight="1">
      <c r="A16" t="s">
        <v>58</v>
      </c>
      <c r="B16"/>
      <c r="C16"/>
      <c r="D16" t="s">
        <v>75</v>
      </c>
      <c r="E16"/>
      <c r="F16"/>
      <c r="G16"/>
    </row>
    <row r="17" spans="1:7" ht="15" customHeight="1">
      <c r="A17"/>
      <c r="B17"/>
      <c r="C17">
        <v>2006</v>
      </c>
      <c r="D17">
        <v>2005</v>
      </c>
      <c r="E17">
        <v>2004</v>
      </c>
      <c r="F17">
        <v>2003</v>
      </c>
      <c r="G17">
        <v>2002</v>
      </c>
    </row>
    <row r="18" spans="1:7" ht="15" customHeight="1">
      <c r="A18" t="s">
        <v>76</v>
      </c>
      <c r="B18" t="s">
        <v>77</v>
      </c>
      <c r="C18" s="6">
        <v>4393415</v>
      </c>
      <c r="D18" s="6">
        <f>(1755.09+5146720.44)</f>
        <v>5148475.53</v>
      </c>
      <c r="E18" s="6">
        <f>1816.61+3265346.64</f>
        <v>3267163.25</v>
      </c>
      <c r="F18" s="6">
        <f>1461.82+2330665.71</f>
        <v>2332127.53</v>
      </c>
      <c r="G18" s="6">
        <f>87482.55+5515.67+120.03+1522398.54+539003.06</f>
        <v>2154519.85</v>
      </c>
    </row>
    <row r="19" spans="1:7" ht="15" customHeight="1">
      <c r="A19"/>
      <c r="B19" t="s">
        <v>78</v>
      </c>
      <c r="C19" s="6">
        <v>0</v>
      </c>
      <c r="D19" s="6">
        <v>14288.58</v>
      </c>
      <c r="E19" s="6">
        <f>3501.57+6084.43</f>
        <v>9586</v>
      </c>
      <c r="F19" s="6">
        <f>3988.97+5712.75</f>
        <v>9701.72</v>
      </c>
      <c r="G19" s="6">
        <f>4028.41+7318.12</f>
        <v>11346.529999999999</v>
      </c>
    </row>
    <row r="20" spans="1:7" ht="15" customHeight="1">
      <c r="A20"/>
      <c r="B20" t="s">
        <v>79</v>
      </c>
      <c r="C20" s="6">
        <v>2340481</v>
      </c>
      <c r="D20" s="6">
        <v>1933927.72</v>
      </c>
      <c r="E20" s="6">
        <f>576377.95+1520408.75</f>
        <v>2096786.7</v>
      </c>
      <c r="F20" s="6">
        <f>624349.73+1463695.55</f>
        <v>2088045.28</v>
      </c>
      <c r="G20" s="6">
        <f>553385.28+1385630.28</f>
        <v>1939015.56</v>
      </c>
    </row>
    <row r="21" spans="1:7" ht="15" customHeight="1">
      <c r="A21"/>
      <c r="B21" t="s">
        <v>80</v>
      </c>
      <c r="C21" s="6">
        <f>SUM(C18:C20)</f>
        <v>6733896</v>
      </c>
      <c r="D21" s="6">
        <f>SUM(D18:D20)</f>
        <v>7096691.83</v>
      </c>
      <c r="E21" s="6">
        <f>SUM(E18:E20)</f>
        <v>5373535.95</v>
      </c>
      <c r="F21" s="6">
        <f>SUM(F18:F20)</f>
        <v>4429874.53</v>
      </c>
      <c r="G21" s="6">
        <f>SUM(G18:G20)</f>
        <v>4104881.94</v>
      </c>
    </row>
    <row r="22" spans="1:7" ht="15" customHeight="1">
      <c r="A22" t="s">
        <v>81</v>
      </c>
      <c r="B22"/>
      <c r="C22" s="6">
        <f>'RD-2006DataAnalysis'!C19*1000</f>
        <v>26978371.52124016</v>
      </c>
      <c r="D22" s="6">
        <f>15014433.24+'RD-2005IPP'!D21*1000</f>
        <v>23878644.72</v>
      </c>
      <c r="E22" s="6">
        <f>10657902.92+2767434.27</f>
        <v>13425337.19</v>
      </c>
      <c r="F22" s="6">
        <f>10924236.75+2370264.07</f>
        <v>13294500.82</v>
      </c>
      <c r="G22" s="6">
        <f>9744850.6+2119797.22</f>
        <v>11864647.82</v>
      </c>
    </row>
    <row r="23" spans="1:7" ht="15" customHeight="1">
      <c r="A23" t="s">
        <v>159</v>
      </c>
      <c r="B23"/>
      <c r="C23" s="6">
        <f>'RD-2006DataAnalysis'!C20</f>
        <v>142494.25136003122</v>
      </c>
      <c r="D23" s="6">
        <f>113404.07+'RD-2005IPP'!D22</f>
        <v>124003.70726912016</v>
      </c>
      <c r="E23" s="6">
        <f>55744.09+82949.21</f>
        <v>138693.3</v>
      </c>
      <c r="F23" s="6">
        <f>59063.44+95838.49</f>
        <v>154901.93</v>
      </c>
      <c r="G23" s="6">
        <f>47507.41+112139</f>
        <v>159646.41</v>
      </c>
    </row>
    <row r="24" spans="1:7" ht="15" customHeight="1">
      <c r="A24"/>
      <c r="B24"/>
      <c r="C24"/>
      <c r="D24"/>
      <c r="E24"/>
      <c r="F24" s="17"/>
      <c r="G24" s="12"/>
    </row>
    <row r="25" spans="1:7" ht="15" customHeight="1">
      <c r="A25" t="s">
        <v>82</v>
      </c>
      <c r="B25"/>
      <c r="C25"/>
      <c r="D25"/>
      <c r="E25"/>
      <c r="F25"/>
      <c r="G25"/>
    </row>
    <row r="26" spans="1:7" ht="15" customHeight="1">
      <c r="A26" t="s">
        <v>392</v>
      </c>
      <c r="B26"/>
      <c r="C26" t="s">
        <v>186</v>
      </c>
      <c r="D26"/>
      <c r="E26"/>
      <c r="F26">
        <v>820</v>
      </c>
      <c r="G26" t="s">
        <v>83</v>
      </c>
    </row>
    <row r="27" spans="1:7" ht="15" customHeight="1">
      <c r="A27" t="s">
        <v>393</v>
      </c>
      <c r="B27"/>
      <c r="C27" t="s">
        <v>186</v>
      </c>
      <c r="D27"/>
      <c r="E27"/>
      <c r="F27">
        <v>840</v>
      </c>
      <c r="G27" t="s">
        <v>83</v>
      </c>
    </row>
    <row r="28" spans="1:7" ht="15" customHeight="1">
      <c r="A28" t="s">
        <v>394</v>
      </c>
      <c r="B28"/>
      <c r="C28" t="s">
        <v>186</v>
      </c>
      <c r="D28"/>
      <c r="E28"/>
      <c r="F28">
        <v>990</v>
      </c>
      <c r="G28" t="s">
        <v>83</v>
      </c>
    </row>
    <row r="29" spans="1:7" ht="15" customHeight="1">
      <c r="A29" t="s">
        <v>395</v>
      </c>
      <c r="B29"/>
      <c r="C29"/>
      <c r="D29"/>
      <c r="E29"/>
      <c r="F29">
        <v>0.654</v>
      </c>
      <c r="G29" t="s">
        <v>83</v>
      </c>
    </row>
    <row r="30" spans="1:7" ht="15" customHeight="1">
      <c r="A30"/>
      <c r="B30"/>
      <c r="C30"/>
      <c r="D30"/>
      <c r="E30"/>
      <c r="F30" s="17"/>
      <c r="G30" s="17"/>
    </row>
    <row r="31" spans="1:7" ht="15" customHeight="1">
      <c r="A31" t="s">
        <v>58</v>
      </c>
      <c r="B31"/>
      <c r="C31"/>
      <c r="D31" t="s">
        <v>84</v>
      </c>
      <c r="E31"/>
      <c r="F31"/>
      <c r="G31"/>
    </row>
    <row r="32" spans="1:7" ht="15" customHeight="1">
      <c r="A32"/>
      <c r="B32"/>
      <c r="C32">
        <v>2006</v>
      </c>
      <c r="D32">
        <v>2005</v>
      </c>
      <c r="E32">
        <v>2004</v>
      </c>
      <c r="F32">
        <v>2003</v>
      </c>
      <c r="G32">
        <v>2002</v>
      </c>
    </row>
    <row r="33" spans="1:7" ht="15" customHeight="1">
      <c r="A33" t="s">
        <v>189</v>
      </c>
      <c r="B33"/>
      <c r="C33" s="2">
        <f>C18*SG_HSD/1000000</f>
        <v>3602.6003</v>
      </c>
      <c r="D33" s="2">
        <f>D18*SG_HSD/1000000</f>
        <v>4221.7499346</v>
      </c>
      <c r="E33" s="2">
        <f>E18*SG_HSD/1000000</f>
        <v>2679.073865</v>
      </c>
      <c r="F33" s="2">
        <f>F18*SG_HSD/1000000</f>
        <v>1912.3445746</v>
      </c>
      <c r="G33" s="2">
        <f>G18*SG_HSD/1000000</f>
        <v>1766.706277</v>
      </c>
    </row>
    <row r="34" spans="1:7" ht="15" customHeight="1">
      <c r="A34" t="s">
        <v>188</v>
      </c>
      <c r="B34"/>
      <c r="C34" s="2">
        <f>C19*SG_DO/1000000</f>
        <v>0</v>
      </c>
      <c r="D34" s="2">
        <f>D19*SG_DO/1000000</f>
        <v>12.002407199999999</v>
      </c>
      <c r="E34" s="2">
        <f>E19*SG_DO/1000000</f>
        <v>8.05224</v>
      </c>
      <c r="F34" s="2">
        <f>F19*SG_DO/1000000</f>
        <v>8.1494448</v>
      </c>
      <c r="G34" s="2">
        <f>G19*SG_DO/1000000</f>
        <v>9.5310852</v>
      </c>
    </row>
    <row r="35" spans="1:7" ht="15" customHeight="1">
      <c r="A35" t="s">
        <v>187</v>
      </c>
      <c r="B35"/>
      <c r="C35" s="2">
        <f>C20*SG_MFO/1000000</f>
        <v>2317.07619</v>
      </c>
      <c r="D35" s="2">
        <f>D20*SG_MFO/1000000</f>
        <v>1914.5884428</v>
      </c>
      <c r="E35" s="2">
        <f>E20*SG_MFO/1000000</f>
        <v>2075.818833</v>
      </c>
      <c r="F35" s="2">
        <f>F20*SG_MFO/1000000</f>
        <v>2067.1648272</v>
      </c>
      <c r="G35" s="2">
        <f>G20*SG_MFO/1000000</f>
        <v>1919.6254044000002</v>
      </c>
    </row>
    <row r="36" spans="1:7" ht="15" customHeight="1">
      <c r="A36" t="s">
        <v>62</v>
      </c>
      <c r="B36"/>
      <c r="C36" s="2">
        <f>C22/1000</f>
        <v>26978.37152124016</v>
      </c>
      <c r="D36" s="2">
        <f>D22/1000</f>
        <v>23878.64472</v>
      </c>
      <c r="E36" s="2">
        <f>E22/1000</f>
        <v>13425.33719</v>
      </c>
      <c r="F36" s="2">
        <f>F22/1000</f>
        <v>13294.500820000001</v>
      </c>
      <c r="G36" s="2">
        <f>G22/1000</f>
        <v>11864.64782</v>
      </c>
    </row>
    <row r="37" spans="1:7" ht="15" customHeight="1">
      <c r="A37" t="s">
        <v>68</v>
      </c>
      <c r="B37"/>
      <c r="C37" s="2">
        <f>C23*10^6/35.3147*SG_NG/1000000</f>
        <v>2638.879571098166</v>
      </c>
      <c r="D37" s="2">
        <f>D23*10^6/35.3147*SG_NG/1000000</f>
        <v>2296.4494829066816</v>
      </c>
      <c r="E37" s="2">
        <f>E23*10^6/35.3147*SG_NG/1000000</f>
        <v>2568.488991836261</v>
      </c>
      <c r="F37" s="2">
        <f>F23*10^6/35.3147*SG_NG/1000000</f>
        <v>2868.659856093921</v>
      </c>
      <c r="G37" s="2">
        <f>G23*10^6/35.3147*SG_NG/1000000</f>
        <v>2956.5238311524663</v>
      </c>
    </row>
    <row r="38" spans="1:7" ht="15" customHeight="1">
      <c r="A38" t="s">
        <v>21</v>
      </c>
      <c r="B38"/>
      <c r="C38" s="2">
        <f>SUM(C34:C37)</f>
        <v>31934.327282338323</v>
      </c>
      <c r="D38" s="2">
        <f>SUM(D34:D37)</f>
        <v>28101.685052906683</v>
      </c>
      <c r="E38" s="2">
        <f>SUM(E34:E37)</f>
        <v>18077.69725483626</v>
      </c>
      <c r="F38" s="2">
        <f>SUM(F34:F37)</f>
        <v>18238.47494809392</v>
      </c>
      <c r="G38" s="2">
        <f>SUM(G34:G37)</f>
        <v>16750.328140752466</v>
      </c>
    </row>
    <row r="39" spans="1:7" ht="15" customHeight="1">
      <c r="A39"/>
      <c r="B39"/>
      <c r="C39"/>
      <c r="D39"/>
      <c r="E39"/>
      <c r="F39" s="12"/>
      <c r="G39" s="18"/>
    </row>
    <row r="40" spans="1:7" ht="15" customHeight="1">
      <c r="A40" t="s">
        <v>85</v>
      </c>
      <c r="B40"/>
      <c r="C40"/>
      <c r="D40"/>
      <c r="E40"/>
      <c r="F40" t="s">
        <v>86</v>
      </c>
      <c r="G40" t="s">
        <v>87</v>
      </c>
    </row>
    <row r="41" spans="1:7" ht="15" customHeight="1">
      <c r="A41"/>
      <c r="B41"/>
      <c r="C41"/>
      <c r="D41"/>
      <c r="E41"/>
      <c r="F41" t="s">
        <v>88</v>
      </c>
      <c r="G41" t="s">
        <v>89</v>
      </c>
    </row>
    <row r="42" spans="1:7" ht="15" customHeight="1">
      <c r="A42" t="s">
        <v>190</v>
      </c>
      <c r="B42"/>
      <c r="C42"/>
      <c r="D42"/>
      <c r="E42"/>
      <c r="F42">
        <v>43</v>
      </c>
      <c r="G42">
        <v>74.1</v>
      </c>
    </row>
    <row r="43" spans="1:7" ht="15" customHeight="1">
      <c r="A43" t="s">
        <v>187</v>
      </c>
      <c r="B43"/>
      <c r="C43"/>
      <c r="D43"/>
      <c r="E43"/>
      <c r="F43">
        <v>40.4</v>
      </c>
      <c r="G43">
        <v>77.4</v>
      </c>
    </row>
    <row r="44" spans="1:7" ht="15" customHeight="1">
      <c r="A44" t="s">
        <v>62</v>
      </c>
      <c r="B44"/>
      <c r="C44"/>
      <c r="D44"/>
      <c r="E44"/>
      <c r="F44">
        <f>5100/0.239/1000</f>
        <v>21.338912133891217</v>
      </c>
      <c r="G44">
        <v>96.1</v>
      </c>
    </row>
    <row r="45" spans="1:7" ht="15" customHeight="1">
      <c r="A45" t="s">
        <v>68</v>
      </c>
      <c r="B45"/>
      <c r="C45"/>
      <c r="D45"/>
      <c r="E45"/>
      <c r="F45">
        <v>48</v>
      </c>
      <c r="G45">
        <v>56.1</v>
      </c>
    </row>
    <row r="46" spans="1:7" ht="15" customHeight="1">
      <c r="A46"/>
      <c r="B46"/>
      <c r="C46"/>
      <c r="D46"/>
      <c r="E46"/>
      <c r="F46" s="17"/>
      <c r="G46" s="17"/>
    </row>
    <row r="47" spans="1:7" ht="15" customHeight="1">
      <c r="A47" t="s">
        <v>90</v>
      </c>
      <c r="B47"/>
      <c r="C47">
        <v>2006</v>
      </c>
      <c r="D47">
        <v>2005</v>
      </c>
      <c r="E47">
        <v>2004</v>
      </c>
      <c r="F47">
        <v>2003</v>
      </c>
      <c r="G47">
        <v>2002</v>
      </c>
    </row>
    <row r="48" spans="1:7" ht="15" customHeight="1">
      <c r="A48" t="s">
        <v>190</v>
      </c>
      <c r="B48"/>
      <c r="C48" s="6">
        <f>(C34+C33)*NCV_DO*CEF_DO</f>
        <v>11478965.335889999</v>
      </c>
      <c r="D48" s="6">
        <f>(D34+D33)*NCV_DO*CEF_DO</f>
        <v>13490005.086677339</v>
      </c>
      <c r="E48" s="6">
        <f>(E34+E33)*NCV_DO*CEF_DO</f>
        <v>8561989.9083615</v>
      </c>
      <c r="F48" s="6">
        <f>(F34+F33)*NCV_DO*CEF_DO</f>
        <v>6119270.09401422</v>
      </c>
      <c r="G48" s="6">
        <f>(G34+G33)*NCV_DO*CEF_DO</f>
        <v>5659625.107177859</v>
      </c>
    </row>
    <row r="49" spans="1:7" ht="15" customHeight="1">
      <c r="A49" t="s">
        <v>187</v>
      </c>
      <c r="B49"/>
      <c r="C49" s="6">
        <f>(C35*NCV_RO*CEF_RO)</f>
        <v>7245404.563082401</v>
      </c>
      <c r="D49" s="6">
        <f>(D35*NCV_RO*CEF_RO)</f>
        <v>5986841.4770978885</v>
      </c>
      <c r="E49" s="6">
        <f>(E35*NCV_RO*CEF_RO)</f>
        <v>6491002.45803768</v>
      </c>
      <c r="F49" s="6">
        <f>(F35*NCV_RO*CEF_RO)</f>
        <v>6463941.728061313</v>
      </c>
      <c r="G49" s="6">
        <f>(G35*NCV_RO*CEF_RO)</f>
        <v>6002591.854542624</v>
      </c>
    </row>
    <row r="50" spans="1:7" ht="15" customHeight="1">
      <c r="A50" t="s">
        <v>62</v>
      </c>
      <c r="B50"/>
      <c r="C50" s="6">
        <f>C36*NCV_CO*CEF_CO</f>
        <v>55323722.45303354</v>
      </c>
      <c r="D50" s="6">
        <f>D36*NCV_CO*CEF_CO</f>
        <v>48967207.37957825</v>
      </c>
      <c r="E50" s="6">
        <f>E36*NCV_CO*CEF_CO</f>
        <v>27530928.91293264</v>
      </c>
      <c r="F50" s="6">
        <f>F36*NCV_CO*CEF_CO</f>
        <v>27262626.765230965</v>
      </c>
      <c r="G50" s="6">
        <f>G36*NCV_CO*CEF_CO</f>
        <v>24330470.891465276</v>
      </c>
    </row>
    <row r="51" spans="1:7" ht="15" customHeight="1">
      <c r="A51" t="s">
        <v>68</v>
      </c>
      <c r="B51"/>
      <c r="C51" s="6">
        <f>C37*NCV_NG*CEF_NG</f>
        <v>7105974.909053141</v>
      </c>
      <c r="D51" s="6">
        <f>D37*NCV_NG*CEF_NG</f>
        <v>6183879.1675711125</v>
      </c>
      <c r="E51" s="6">
        <f>E37*NCV_NG*CEF_NG</f>
        <v>6916427.157216684</v>
      </c>
      <c r="F51" s="6">
        <f>F37*NCV_NG*CEF_NG</f>
        <v>7724727.260489712</v>
      </c>
      <c r="G51" s="6">
        <f>G37*NCV_NG*CEF_NG</f>
        <v>7961327.372527362</v>
      </c>
    </row>
    <row r="52" spans="1:7" ht="15" customHeight="1">
      <c r="A52" t="s">
        <v>91</v>
      </c>
      <c r="B52"/>
      <c r="C52" s="6">
        <f>SUM(C48:C51)</f>
        <v>81154067.26105908</v>
      </c>
      <c r="D52" s="6">
        <f>SUM(D48:D51)</f>
        <v>74627933.11092459</v>
      </c>
      <c r="E52" s="6">
        <f>SUM(E48:E51)</f>
        <v>49500348.4365485</v>
      </c>
      <c r="F52" s="6">
        <f>SUM(F48:F51)</f>
        <v>47570565.84779621</v>
      </c>
      <c r="G52" s="6">
        <f>SUM(G48:G51)</f>
        <v>43954015.22571312</v>
      </c>
    </row>
    <row r="53" spans="1:7" ht="15" customHeight="1">
      <c r="A53"/>
      <c r="B53"/>
      <c r="C53"/>
      <c r="D53"/>
      <c r="E53"/>
      <c r="F53" s="17"/>
      <c r="G53" s="17"/>
    </row>
    <row r="54" spans="1:7" ht="15" customHeight="1">
      <c r="A54" t="s">
        <v>92</v>
      </c>
      <c r="B54"/>
      <c r="C54">
        <v>2006</v>
      </c>
      <c r="D54">
        <v>2005</v>
      </c>
      <c r="E54">
        <v>2004</v>
      </c>
      <c r="F54">
        <v>2003</v>
      </c>
      <c r="G54">
        <v>2002</v>
      </c>
    </row>
    <row r="55" spans="1:7" ht="15" customHeight="1">
      <c r="A55"/>
      <c r="B55"/>
      <c r="C55"/>
      <c r="D55"/>
      <c r="E55"/>
      <c r="F55"/>
      <c r="G55"/>
    </row>
    <row r="56" spans="1:7" ht="15" customHeight="1">
      <c r="A56" t="s">
        <v>91</v>
      </c>
      <c r="B56"/>
      <c r="C56" s="6">
        <f>C52</f>
        <v>81154067.26105908</v>
      </c>
      <c r="D56" s="6">
        <f>D52</f>
        <v>74627933.11092459</v>
      </c>
      <c r="E56" s="6">
        <f>E52</f>
        <v>49500348.4365485</v>
      </c>
      <c r="F56" s="6">
        <f>F52</f>
        <v>47570565.84779621</v>
      </c>
      <c r="G56" s="6">
        <f>G52</f>
        <v>43954015.22571312</v>
      </c>
    </row>
    <row r="57" spans="1:7" ht="15" customHeight="1">
      <c r="A57" t="s">
        <v>93</v>
      </c>
      <c r="B57"/>
      <c r="C57" s="6">
        <f>C13*1000</f>
        <v>105274148.34010807</v>
      </c>
      <c r="D57" s="6">
        <f>D13*1000</f>
        <v>100895590</v>
      </c>
      <c r="E57" s="6">
        <f>E13*1000</f>
        <v>95404790.00000001</v>
      </c>
      <c r="F57" s="6">
        <f>F13*1000</f>
        <v>89951549.99999999</v>
      </c>
      <c r="G57" s="6">
        <f>G13*1000</f>
        <v>82216950</v>
      </c>
    </row>
    <row r="58" spans="1:7" ht="15" customHeight="1">
      <c r="A58" t="s">
        <v>382</v>
      </c>
      <c r="B58"/>
      <c r="C58" s="6"/>
      <c r="D58" s="6"/>
      <c r="E58" s="6"/>
      <c r="F58" s="6"/>
      <c r="G58" s="6"/>
    </row>
    <row r="59" spans="1:7" ht="15" customHeight="1">
      <c r="A59"/>
      <c r="B59" t="s">
        <v>64</v>
      </c>
      <c r="C59" s="6">
        <f>C6*1000</f>
        <v>5207668.6223363215</v>
      </c>
      <c r="D59" s="6">
        <f>D6*1000</f>
        <v>7090790</v>
      </c>
      <c r="E59" s="6">
        <f>E6*1000</f>
        <v>5428220</v>
      </c>
      <c r="F59" s="6">
        <f>F6*1000</f>
        <v>4891320</v>
      </c>
      <c r="G59" s="6">
        <f>G6*1000</f>
        <v>5983130</v>
      </c>
    </row>
    <row r="60" spans="1:7" ht="15" customHeight="1">
      <c r="A60"/>
      <c r="B60" t="s">
        <v>60</v>
      </c>
      <c r="C60" s="6">
        <f>C10*1000</f>
        <v>6499760.884520844</v>
      </c>
      <c r="D60" s="6">
        <f>D10*1000</f>
        <v>6466250</v>
      </c>
      <c r="E60" s="6">
        <f>E10*1000</f>
        <v>2988240</v>
      </c>
      <c r="F60" s="6">
        <f>F10*1000</f>
        <v>2803520</v>
      </c>
      <c r="G60" s="6">
        <f>G10*1000</f>
        <v>3055700</v>
      </c>
    </row>
    <row r="61" spans="1:7" ht="15" customHeight="1">
      <c r="A61"/>
      <c r="B61" t="s">
        <v>294</v>
      </c>
      <c r="C61" s="6">
        <f>C12*1000</f>
        <v>0</v>
      </c>
      <c r="D61" s="6">
        <f>D12*1000</f>
        <v>0</v>
      </c>
      <c r="E61" s="6">
        <f>E12*1000</f>
        <v>22236000</v>
      </c>
      <c r="F61" s="6">
        <f>F12*1000</f>
        <v>19110000</v>
      </c>
      <c r="G61" s="6">
        <f>G12*1000</f>
        <v>13425000</v>
      </c>
    </row>
    <row r="62" spans="1:7" ht="15" customHeight="1">
      <c r="A62"/>
      <c r="B62" t="s">
        <v>384</v>
      </c>
      <c r="C62" s="6">
        <f>SUM(C59:C61)</f>
        <v>11707429.506857164</v>
      </c>
      <c r="D62" s="6">
        <f>SUM(D59:D61)</f>
        <v>13557040</v>
      </c>
      <c r="E62" s="6">
        <f>SUM(E59:E61)</f>
        <v>30652460</v>
      </c>
      <c r="F62" s="6">
        <f>SUM(F59:F61)</f>
        <v>26804840</v>
      </c>
      <c r="G62" s="6">
        <f>SUM(G59:G61)</f>
        <v>22463830</v>
      </c>
    </row>
    <row r="63" spans="1:7" ht="15" customHeight="1">
      <c r="A63" t="s">
        <v>383</v>
      </c>
      <c r="B63"/>
      <c r="C63" s="6">
        <f>C57-C62</f>
        <v>93566718.83325091</v>
      </c>
      <c r="D63" s="6">
        <f>D57-D62</f>
        <v>87338550</v>
      </c>
      <c r="E63" s="6">
        <f>E57-E62</f>
        <v>64752330.000000015</v>
      </c>
      <c r="F63" s="6">
        <f>F57-F62</f>
        <v>63146709.999999985</v>
      </c>
      <c r="G63" s="6">
        <f>G57-G62</f>
        <v>59753120</v>
      </c>
    </row>
    <row r="64" spans="1:7" ht="15" customHeight="1">
      <c r="A64" t="s">
        <v>191</v>
      </c>
      <c r="B64"/>
      <c r="C64" s="21">
        <f>C56/(C57-C62)</f>
        <v>0.8673390311536634</v>
      </c>
      <c r="D64" s="21">
        <f>D56/(D57-D62)</f>
        <v>0.854467278320107</v>
      </c>
      <c r="E64" s="21">
        <f>E56/(E57-E62)</f>
        <v>0.7644566371055449</v>
      </c>
      <c r="F64" s="21">
        <f>F56/(F57-F62)</f>
        <v>0.7533340351032733</v>
      </c>
      <c r="G64" s="21">
        <f>G56/(G57-G62)</f>
        <v>0.7355936430719119</v>
      </c>
    </row>
    <row r="65" spans="1:7" ht="15" customHeight="1">
      <c r="A65" s="12"/>
      <c r="B65" s="12"/>
      <c r="C65" s="12"/>
      <c r="D65" s="12"/>
      <c r="E65" s="12"/>
      <c r="F65" s="12"/>
      <c r="G65" s="12"/>
    </row>
    <row r="66" spans="1:7" ht="28.5" customHeight="1">
      <c r="A66" t="s">
        <v>168</v>
      </c>
      <c r="B66"/>
      <c r="C66"/>
      <c r="D66" t="s">
        <v>57</v>
      </c>
      <c r="E66" t="s">
        <v>183</v>
      </c>
      <c r="F66" t="s">
        <v>169</v>
      </c>
      <c r="G66" t="s">
        <v>170</v>
      </c>
    </row>
    <row r="67" spans="1:7" ht="15" customHeight="1">
      <c r="A67" t="s">
        <v>94</v>
      </c>
      <c r="B67"/>
      <c r="C67"/>
      <c r="D67"/>
      <c r="E67" t="s">
        <v>184</v>
      </c>
      <c r="F67" t="s">
        <v>95</v>
      </c>
      <c r="G67" t="s">
        <v>173</v>
      </c>
    </row>
    <row r="68" spans="1:7" ht="15" customHeight="1">
      <c r="A68">
        <v>2006</v>
      </c>
      <c r="B68" t="s">
        <v>74</v>
      </c>
      <c r="C68"/>
      <c r="D68" t="s">
        <v>174</v>
      </c>
      <c r="E68" s="37">
        <f>F68/$C$13/1000</f>
        <v>0.007349150004248357</v>
      </c>
      <c r="F68" s="5">
        <v>773675.5077209474</v>
      </c>
      <c r="G68">
        <v>6.7</v>
      </c>
    </row>
    <row r="69" spans="1:7" ht="15" customHeight="1">
      <c r="A69">
        <v>2006</v>
      </c>
      <c r="B69" t="s">
        <v>66</v>
      </c>
      <c r="C69"/>
      <c r="D69" t="s">
        <v>175</v>
      </c>
      <c r="E69" s="37">
        <f aca="true" t="shared" si="0" ref="E69:E74">F69/$C$13/1000+E68</f>
        <v>0.045469375540482665</v>
      </c>
      <c r="F69" s="5">
        <v>4013074.2778599057</v>
      </c>
      <c r="G69">
        <v>1887.07</v>
      </c>
    </row>
    <row r="70" spans="1:7" ht="15" customHeight="1">
      <c r="A70">
        <v>2006</v>
      </c>
      <c r="B70" t="s">
        <v>73</v>
      </c>
      <c r="C70"/>
      <c r="D70" t="s">
        <v>175</v>
      </c>
      <c r="E70" s="37">
        <f t="shared" si="0"/>
        <v>0.06353325046001906</v>
      </c>
      <c r="F70" s="5">
        <v>1901659.047876432</v>
      </c>
      <c r="G70">
        <v>965.13</v>
      </c>
    </row>
    <row r="71" spans="1:7" ht="15" customHeight="1">
      <c r="A71">
        <v>2005</v>
      </c>
      <c r="B71" t="s">
        <v>161</v>
      </c>
      <c r="C71"/>
      <c r="D71" t="s">
        <v>189</v>
      </c>
      <c r="E71" s="37">
        <f t="shared" si="0"/>
        <v>0.07912945437349554</v>
      </c>
      <c r="F71" s="5">
        <v>1641877.084329897</v>
      </c>
      <c r="G71">
        <v>582.46</v>
      </c>
    </row>
    <row r="72" spans="1:7" ht="15" customHeight="1">
      <c r="A72">
        <v>2005</v>
      </c>
      <c r="B72" t="s">
        <v>162</v>
      </c>
      <c r="C72"/>
      <c r="D72" t="s">
        <v>176</v>
      </c>
      <c r="E72" s="37">
        <f>F72/$C$13/1000+E71</f>
        <v>0.0878903794395463</v>
      </c>
      <c r="F72" s="5">
        <v>922298.9249999998</v>
      </c>
      <c r="G72">
        <v>0</v>
      </c>
    </row>
    <row r="73" spans="1:7" ht="15" customHeight="1">
      <c r="A73">
        <v>2004</v>
      </c>
      <c r="B73" t="s">
        <v>163</v>
      </c>
      <c r="C73"/>
      <c r="D73" t="s">
        <v>175</v>
      </c>
      <c r="E73" s="37">
        <f t="shared" si="0"/>
        <v>0.17767007992185446</v>
      </c>
      <c r="F73" s="5">
        <v>9451481.506504979</v>
      </c>
      <c r="G73">
        <v>4565.84</v>
      </c>
    </row>
    <row r="74" spans="1:7" ht="15" customHeight="1">
      <c r="A74">
        <v>2004</v>
      </c>
      <c r="B74" t="s">
        <v>164</v>
      </c>
      <c r="C74"/>
      <c r="D74" t="s">
        <v>175</v>
      </c>
      <c r="E74" s="37">
        <f t="shared" si="0"/>
        <v>0.26739940713654625</v>
      </c>
      <c r="F74" s="5">
        <v>9446178.503657559</v>
      </c>
      <c r="G74">
        <v>4520.18</v>
      </c>
    </row>
    <row r="75" spans="1:7" ht="15" customHeight="1">
      <c r="A75" t="s">
        <v>165</v>
      </c>
      <c r="B75"/>
      <c r="C75"/>
      <c r="D75"/>
      <c r="E75"/>
      <c r="F75" s="5">
        <f>SUM(F68:F74)</f>
        <v>28150244.852949724</v>
      </c>
      <c r="G75"/>
    </row>
    <row r="76" spans="1:7" ht="15" customHeight="1">
      <c r="A76" t="s">
        <v>166</v>
      </c>
      <c r="B76"/>
      <c r="C76"/>
      <c r="D76"/>
      <c r="E76"/>
      <c r="F76" s="5">
        <f>C13*1000</f>
        <v>105274148.34010807</v>
      </c>
      <c r="G76"/>
    </row>
    <row r="77" spans="1:7" ht="15" customHeight="1">
      <c r="A77" t="s">
        <v>167</v>
      </c>
      <c r="B77"/>
      <c r="C77"/>
      <c r="D77"/>
      <c r="E77"/>
      <c r="F77">
        <f>F75/F76</f>
        <v>0.26739940713654625</v>
      </c>
      <c r="G77"/>
    </row>
    <row r="78" spans="1:7" ht="15" customHeight="1">
      <c r="A78"/>
      <c r="B78"/>
      <c r="C78"/>
      <c r="D78"/>
      <c r="E78"/>
      <c r="F78" s="17"/>
      <c r="G78" s="12"/>
    </row>
    <row r="79" spans="1:7" ht="15" customHeight="1">
      <c r="A79" t="s">
        <v>168</v>
      </c>
      <c r="B79"/>
      <c r="C79"/>
      <c r="D79"/>
      <c r="E79"/>
      <c r="F79" t="s">
        <v>171</v>
      </c>
      <c r="G79"/>
    </row>
    <row r="80" spans="1:7" ht="15" customHeight="1">
      <c r="A80" t="s">
        <v>94</v>
      </c>
      <c r="B80"/>
      <c r="C80"/>
      <c r="D80"/>
      <c r="E80"/>
      <c r="F80" t="s">
        <v>172</v>
      </c>
      <c r="G80"/>
    </row>
    <row r="81" spans="1:7" ht="15" customHeight="1">
      <c r="A81"/>
      <c r="B81" t="s">
        <v>74</v>
      </c>
      <c r="C81" t="s">
        <v>174</v>
      </c>
      <c r="D81"/>
      <c r="E81"/>
      <c r="F81" s="6">
        <f>G68*NCV_NG*CEF_NG</f>
        <v>18041.760000000002</v>
      </c>
      <c r="G81"/>
    </row>
    <row r="82" spans="1:7" ht="15" customHeight="1">
      <c r="A82"/>
      <c r="B82" t="s">
        <v>66</v>
      </c>
      <c r="C82" t="s">
        <v>175</v>
      </c>
      <c r="D82"/>
      <c r="E82"/>
      <c r="F82" s="6">
        <f>G69*NCV_CO*CEF_CO</f>
        <v>3869756.8104602513</v>
      </c>
      <c r="G82"/>
    </row>
    <row r="83" spans="1:7" ht="15" customHeight="1">
      <c r="A83"/>
      <c r="B83" t="s">
        <v>73</v>
      </c>
      <c r="C83" t="s">
        <v>175</v>
      </c>
      <c r="D83"/>
      <c r="E83"/>
      <c r="F83" s="6">
        <f>G70*NCV_CO*CEF_CO</f>
        <v>1979162.6121338916</v>
      </c>
      <c r="G83"/>
    </row>
    <row r="84" spans="1:7" ht="15" customHeight="1">
      <c r="A84"/>
      <c r="B84" t="s">
        <v>161</v>
      </c>
      <c r="C84" t="s">
        <v>192</v>
      </c>
      <c r="D84"/>
      <c r="E84"/>
      <c r="F84" s="6">
        <f>G71*NCV_DO*CEF_DO</f>
        <v>1855892.298</v>
      </c>
      <c r="G84"/>
    </row>
    <row r="85" spans="1:7" ht="15" customHeight="1">
      <c r="A85"/>
      <c r="B85" t="s">
        <v>162</v>
      </c>
      <c r="C85" t="s">
        <v>176</v>
      </c>
      <c r="D85"/>
      <c r="E85"/>
      <c r="F85" s="6">
        <f>G72</f>
        <v>0</v>
      </c>
      <c r="G85"/>
    </row>
    <row r="86" spans="1:7" ht="15" customHeight="1">
      <c r="A86"/>
      <c r="B86" t="s">
        <v>163</v>
      </c>
      <c r="C86" t="s">
        <v>175</v>
      </c>
      <c r="D86"/>
      <c r="E86"/>
      <c r="F86" s="6">
        <f>G73*NCV_CO*CEF_CO</f>
        <v>9363028.629288703</v>
      </c>
      <c r="G86"/>
    </row>
    <row r="87" spans="1:7" ht="15" customHeight="1">
      <c r="A87"/>
      <c r="B87" t="s">
        <v>164</v>
      </c>
      <c r="C87" t="s">
        <v>175</v>
      </c>
      <c r="D87"/>
      <c r="E87"/>
      <c r="F87" s="6">
        <f>G74*NCV_CO*CEF_CO</f>
        <v>9269395.061924687</v>
      </c>
      <c r="G87"/>
    </row>
    <row r="88" spans="1:7" ht="15" customHeight="1">
      <c r="A88" t="s">
        <v>177</v>
      </c>
      <c r="B88"/>
      <c r="C88"/>
      <c r="D88"/>
      <c r="E88"/>
      <c r="F88" s="6">
        <f>SUM(F81:F87)</f>
        <v>26355277.171807535</v>
      </c>
      <c r="G88" t="s">
        <v>185</v>
      </c>
    </row>
    <row r="89" spans="1:7" ht="15" customHeight="1">
      <c r="A89" t="s">
        <v>178</v>
      </c>
      <c r="B89"/>
      <c r="C89"/>
      <c r="D89"/>
      <c r="E89"/>
      <c r="F89" s="6">
        <f>F75</f>
        <v>28150244.852949724</v>
      </c>
      <c r="G89" t="s">
        <v>180</v>
      </c>
    </row>
    <row r="90" spans="1:7" ht="15" customHeight="1">
      <c r="A90" t="s">
        <v>314</v>
      </c>
      <c r="B90"/>
      <c r="C90"/>
      <c r="D90"/>
      <c r="E90"/>
      <c r="F90" s="6">
        <f>F72</f>
        <v>922298.9249999998</v>
      </c>
      <c r="G90" t="s">
        <v>180</v>
      </c>
    </row>
    <row r="91" spans="1:7" ht="15" customHeight="1">
      <c r="A91" t="s">
        <v>315</v>
      </c>
      <c r="B91"/>
      <c r="C91"/>
      <c r="D91"/>
      <c r="E91"/>
      <c r="F91" s="6">
        <f>F89-F90</f>
        <v>27227945.927949723</v>
      </c>
      <c r="G91" t="s">
        <v>180</v>
      </c>
    </row>
    <row r="92" spans="1:7" ht="15" customHeight="1">
      <c r="A92" t="s">
        <v>179</v>
      </c>
      <c r="B92"/>
      <c r="C92"/>
      <c r="D92"/>
      <c r="E92"/>
      <c r="F92" s="38">
        <f>F88/F89</f>
        <v>0.9362361609812391</v>
      </c>
      <c r="G92" t="s">
        <v>181</v>
      </c>
    </row>
    <row r="93" spans="1:7" ht="15" customHeight="1">
      <c r="A93"/>
      <c r="B93"/>
      <c r="C93"/>
      <c r="D93"/>
      <c r="E93"/>
      <c r="F93"/>
      <c r="G93"/>
    </row>
    <row r="94" spans="1:7" ht="15" customHeight="1">
      <c r="A94" t="s">
        <v>182</v>
      </c>
      <c r="B94"/>
      <c r="C94"/>
      <c r="D94"/>
      <c r="E94"/>
      <c r="F94" s="38">
        <f>ROUNDDOWN(F92*0.5+0.5*C64,3)</f>
        <v>0.901</v>
      </c>
      <c r="G9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53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25.28125" style="19" customWidth="1"/>
    <col min="2" max="2" width="19.7109375" style="19" customWidth="1"/>
    <col min="3" max="3" width="12.00390625" style="19" customWidth="1"/>
    <col min="4" max="4" width="20.00390625" style="19" customWidth="1"/>
    <col min="5" max="5" width="11.28125" style="19" customWidth="1"/>
    <col min="6" max="6" width="18.00390625" style="19" customWidth="1"/>
    <col min="7" max="8" width="11.8515625" style="19" customWidth="1"/>
    <col min="9" max="9" width="20.57421875" style="19" customWidth="1"/>
    <col min="10" max="12" width="11.8515625" style="19" customWidth="1"/>
    <col min="13" max="13" width="11.7109375" style="19" customWidth="1"/>
    <col min="14" max="14" width="11.00390625" style="19" bestFit="1" customWidth="1"/>
    <col min="15" max="16384" width="9.140625" style="19" customWidth="1"/>
  </cols>
  <sheetData>
    <row r="1" ht="15">
      <c r="A1" s="42" t="s">
        <v>215</v>
      </c>
    </row>
    <row r="2" ht="15">
      <c r="A2" s="42" t="s">
        <v>216</v>
      </c>
    </row>
    <row r="3" ht="12.75"/>
    <row r="4" ht="12.75"/>
    <row r="5" spans="1:13" ht="33" customHeight="1">
      <c r="A5" t="s">
        <v>218</v>
      </c>
      <c r="B5" t="s">
        <v>61</v>
      </c>
      <c r="C5" t="s">
        <v>57</v>
      </c>
      <c r="D5" t="s">
        <v>197</v>
      </c>
      <c r="E5" t="s">
        <v>198</v>
      </c>
      <c r="F5" t="s">
        <v>199</v>
      </c>
      <c r="G5" t="s">
        <v>200</v>
      </c>
      <c r="I5" s="20"/>
      <c r="J5" s="20"/>
      <c r="K5" s="20"/>
      <c r="L5" s="20"/>
      <c r="M5" s="20"/>
    </row>
    <row r="6" spans="1:7" ht="15">
      <c r="A6" t="s">
        <v>201</v>
      </c>
      <c r="B6" t="s">
        <v>63</v>
      </c>
      <c r="C6" t="s">
        <v>202</v>
      </c>
      <c r="D6">
        <v>843</v>
      </c>
      <c r="E6"/>
      <c r="F6"/>
      <c r="G6"/>
    </row>
    <row r="7" spans="1:7" ht="15">
      <c r="A7" t="s">
        <v>205</v>
      </c>
      <c r="B7" t="s">
        <v>67</v>
      </c>
      <c r="C7" t="s">
        <v>68</v>
      </c>
      <c r="D7">
        <v>545</v>
      </c>
      <c r="E7">
        <v>0.0164</v>
      </c>
      <c r="F7">
        <f>D7*E7</f>
        <v>8.938</v>
      </c>
      <c r="G7" t="s">
        <v>206</v>
      </c>
    </row>
    <row r="8" spans="1:7" ht="15">
      <c r="A8" t="s">
        <v>207</v>
      </c>
      <c r="B8" t="s">
        <v>70</v>
      </c>
      <c r="C8" t="s">
        <v>60</v>
      </c>
      <c r="D8">
        <v>1586</v>
      </c>
      <c r="E8"/>
      <c r="F8"/>
      <c r="G8"/>
    </row>
    <row r="9" spans="1:7" ht="15">
      <c r="A9" t="s">
        <v>208</v>
      </c>
      <c r="B9" t="s">
        <v>70</v>
      </c>
      <c r="C9" t="s">
        <v>60</v>
      </c>
      <c r="D9">
        <v>321</v>
      </c>
      <c r="E9"/>
      <c r="F9"/>
      <c r="G9"/>
    </row>
    <row r="10" spans="1:7" ht="15">
      <c r="A10" t="s">
        <v>209</v>
      </c>
      <c r="B10" t="s">
        <v>65</v>
      </c>
      <c r="C10" t="s">
        <v>62</v>
      </c>
      <c r="D10">
        <v>9363</v>
      </c>
      <c r="E10">
        <v>0.48308</v>
      </c>
      <c r="F10" s="6">
        <f>D10*E10</f>
        <v>4523.07804</v>
      </c>
      <c r="G10" t="s">
        <v>203</v>
      </c>
    </row>
    <row r="11" spans="1:7" ht="15">
      <c r="A11" t="s">
        <v>210</v>
      </c>
      <c r="B11" t="s">
        <v>65</v>
      </c>
      <c r="C11" t="s">
        <v>62</v>
      </c>
      <c r="D11">
        <v>9072</v>
      </c>
      <c r="E11">
        <v>0.47852</v>
      </c>
      <c r="F11" s="6">
        <f>D11*E11</f>
        <v>4341.13344</v>
      </c>
      <c r="G11" t="s">
        <v>203</v>
      </c>
    </row>
    <row r="12" spans="1:7" ht="15">
      <c r="A12" t="s">
        <v>211</v>
      </c>
      <c r="B12" t="s">
        <v>70</v>
      </c>
      <c r="C12" t="s">
        <v>60</v>
      </c>
      <c r="D12">
        <v>936</v>
      </c>
      <c r="E12"/>
      <c r="F12"/>
      <c r="G12"/>
    </row>
    <row r="13" spans="1:7" ht="15">
      <c r="A13" t="s">
        <v>212</v>
      </c>
      <c r="B13" t="s">
        <v>70</v>
      </c>
      <c r="C13" t="s">
        <v>60</v>
      </c>
      <c r="D13">
        <v>753</v>
      </c>
      <c r="E13"/>
      <c r="F13"/>
      <c r="G13"/>
    </row>
    <row r="14" spans="1:7" ht="15">
      <c r="A14" t="s">
        <v>213</v>
      </c>
      <c r="B14" t="s">
        <v>67</v>
      </c>
      <c r="C14" t="s">
        <v>68</v>
      </c>
      <c r="D14">
        <v>2</v>
      </c>
      <c r="E14" t="s">
        <v>214</v>
      </c>
      <c r="F14"/>
      <c r="G14"/>
    </row>
    <row r="15" ht="12.75"/>
    <row r="16" spans="1:2" ht="15">
      <c r="A16" s="42" t="s">
        <v>219</v>
      </c>
      <c r="B16" s="42" t="s">
        <v>221</v>
      </c>
    </row>
    <row r="17" spans="1:2" ht="15">
      <c r="A17" s="42" t="s">
        <v>220</v>
      </c>
      <c r="B17" s="42" t="s">
        <v>222</v>
      </c>
    </row>
    <row r="18" ht="12.75"/>
    <row r="19" spans="1:5" ht="15">
      <c r="A19" t="s">
        <v>218</v>
      </c>
      <c r="B19" t="s">
        <v>197</v>
      </c>
      <c r="C19" t="s">
        <v>57</v>
      </c>
      <c r="D19" t="s">
        <v>217</v>
      </c>
      <c r="E19" t="s">
        <v>26</v>
      </c>
    </row>
    <row r="20" spans="1:5" ht="15">
      <c r="A20" t="s">
        <v>63</v>
      </c>
      <c r="B20">
        <f>D6</f>
        <v>843</v>
      </c>
      <c r="C20" t="s">
        <v>202</v>
      </c>
      <c r="D20" t="s">
        <v>220</v>
      </c>
      <c r="E20" t="s">
        <v>26</v>
      </c>
    </row>
    <row r="21" spans="1:5" ht="15">
      <c r="A21" t="s">
        <v>65</v>
      </c>
      <c r="B21">
        <f>D10+D11</f>
        <v>18435</v>
      </c>
      <c r="C21" t="s">
        <v>62</v>
      </c>
      <c r="D21" s="6">
        <f>SUM(F10:F11)</f>
        <v>8864.21148</v>
      </c>
      <c r="E21" t="s">
        <v>203</v>
      </c>
    </row>
    <row r="22" spans="1:5" ht="15">
      <c r="A22" t="s">
        <v>67</v>
      </c>
      <c r="B22">
        <f>D7</f>
        <v>545</v>
      </c>
      <c r="C22" t="s">
        <v>68</v>
      </c>
      <c r="D22" s="6">
        <f>F7/(9.486*10^-4)/NCV_NG/SG_NG*1000/28.317</f>
        <v>10599.637269120158</v>
      </c>
      <c r="E22" t="s">
        <v>204</v>
      </c>
    </row>
    <row r="23" spans="1:5" ht="15">
      <c r="A23" t="s">
        <v>69</v>
      </c>
      <c r="B23">
        <v>0</v>
      </c>
      <c r="C23" t="s">
        <v>219</v>
      </c>
      <c r="D23" t="s">
        <v>220</v>
      </c>
      <c r="E23" t="s">
        <v>220</v>
      </c>
    </row>
    <row r="24" spans="1:5" ht="15">
      <c r="A24" t="s">
        <v>70</v>
      </c>
      <c r="B24">
        <f>D8+D9+D12+D13</f>
        <v>3596</v>
      </c>
      <c r="C24" t="s">
        <v>60</v>
      </c>
      <c r="D24" t="s">
        <v>220</v>
      </c>
      <c r="E24" t="s">
        <v>220</v>
      </c>
    </row>
    <row r="25" spans="1:5" ht="15">
      <c r="A25" t="s">
        <v>71</v>
      </c>
      <c r="B25">
        <v>0</v>
      </c>
      <c r="C25" t="s">
        <v>219</v>
      </c>
      <c r="D25" t="s">
        <v>220</v>
      </c>
      <c r="E25" t="s">
        <v>220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67" r:id="rId5"/>
  <legacyDrawing r:id="rId2"/>
  <tableParts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Hendrayani</dc:creator>
  <cp:keywords/>
  <dc:description>Version 2.0 is submitted to DOE
Correction is made to baseline emissions due to rounding errors as pointed by Hitomi</dc:description>
  <cp:lastModifiedBy> </cp:lastModifiedBy>
  <cp:lastPrinted>2007-08-24T07:55:52Z</cp:lastPrinted>
  <dcterms:created xsi:type="dcterms:W3CDTF">2007-04-23T03:37:38Z</dcterms:created>
  <dcterms:modified xsi:type="dcterms:W3CDTF">2008-01-09T09:18:07Z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