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firstSheet="1" activeTab="1"/>
  </bookViews>
  <sheets>
    <sheet name="Steam Cost analysis" sheetId="1" r:id="rId1"/>
    <sheet name="Final steam cost anlysis" sheetId="2" r:id="rId2"/>
  </sheets>
  <definedNames/>
  <calcPr fullCalcOnLoad="1"/>
</workbook>
</file>

<file path=xl/comments2.xml><?xml version="1.0" encoding="utf-8"?>
<comments xmlns="http://schemas.openxmlformats.org/spreadsheetml/2006/main">
  <authors>
    <author>AML</author>
  </authors>
  <commentList>
    <comment ref="F17" authorId="0">
      <text>
        <r>
          <rPr>
            <b/>
            <sz val="8"/>
            <rFont val="Tahoma"/>
            <family val="0"/>
          </rPr>
          <t>AML:</t>
        </r>
        <r>
          <rPr>
            <sz val="8"/>
            <rFont val="Tahoma"/>
            <family val="0"/>
          </rPr>
          <t xml:space="preserve">
To be verified and change</t>
        </r>
      </text>
    </comment>
  </commentList>
</comments>
</file>

<file path=xl/sharedStrings.xml><?xml version="1.0" encoding="utf-8"?>
<sst xmlns="http://schemas.openxmlformats.org/spreadsheetml/2006/main" count="185" uniqueCount="120">
  <si>
    <t>Description</t>
  </si>
  <si>
    <t>UOM</t>
  </si>
  <si>
    <t>Kg/Hr</t>
  </si>
  <si>
    <t>Specific enthalpy of steam</t>
  </si>
  <si>
    <t>Kcal/Kg</t>
  </si>
  <si>
    <t>Specific enthalpy of water</t>
  </si>
  <si>
    <t>Heat output</t>
  </si>
  <si>
    <t>Kcal/Hr</t>
  </si>
  <si>
    <t>Efficiency</t>
  </si>
  <si>
    <t>%</t>
  </si>
  <si>
    <t>Heat input</t>
  </si>
  <si>
    <t>Fuel consumption</t>
  </si>
  <si>
    <t>Price</t>
  </si>
  <si>
    <t>Lacs Rs./year</t>
  </si>
  <si>
    <t>Units consumed</t>
  </si>
  <si>
    <t>Kwh/hr</t>
  </si>
  <si>
    <t xml:space="preserve">Cost of power </t>
  </si>
  <si>
    <t>Rs./Kwh</t>
  </si>
  <si>
    <t xml:space="preserve">Cost of aux power </t>
  </si>
  <si>
    <t>Man power cost</t>
  </si>
  <si>
    <t>No .of operators</t>
  </si>
  <si>
    <t>Opertors</t>
  </si>
  <si>
    <t>No. of helpers</t>
  </si>
  <si>
    <t>Helpers</t>
  </si>
  <si>
    <t>Salary of operators</t>
  </si>
  <si>
    <t>Rs./month</t>
  </si>
  <si>
    <t>Salary of helpers</t>
  </si>
  <si>
    <t>Total man power cost</t>
  </si>
  <si>
    <t>Annual inspection cost</t>
  </si>
  <si>
    <t>Fuel and Ash handling cost</t>
  </si>
  <si>
    <t>Lacs Rs/Year</t>
  </si>
  <si>
    <t>Mantainanace exp.</t>
  </si>
  <si>
    <t>Lacs Rs./Year</t>
  </si>
  <si>
    <t>Total fixed cost per year</t>
  </si>
  <si>
    <t>LACS RS./YEAR</t>
  </si>
  <si>
    <t xml:space="preserve">Steam generated </t>
  </si>
  <si>
    <t>TP year</t>
  </si>
  <si>
    <t>Cost of generation</t>
  </si>
  <si>
    <t>Rs. /Kg</t>
  </si>
  <si>
    <t>COST BENEFIT per kg steam against FO</t>
  </si>
  <si>
    <t>Yearly Benefit(Rs)</t>
  </si>
  <si>
    <t>Steam Generation per hour</t>
  </si>
  <si>
    <t>Fuel yearly consumption- projected</t>
  </si>
  <si>
    <t>Fuel Cost</t>
  </si>
  <si>
    <t>Rs / Kg of steam</t>
  </si>
  <si>
    <t>Other Cost</t>
  </si>
  <si>
    <t>Total Cost</t>
  </si>
  <si>
    <r>
      <t>o</t>
    </r>
    <r>
      <rPr>
        <sz val="12"/>
        <rFont val="Arial Narrow"/>
        <family val="2"/>
      </rPr>
      <t xml:space="preserve"> C=Kcal/Kg</t>
    </r>
  </si>
  <si>
    <t>Steam cost with DOC</t>
  </si>
  <si>
    <t>Steam cost with SD</t>
  </si>
  <si>
    <t>Steam cost with Natural Gas</t>
  </si>
  <si>
    <t>FIX COST</t>
  </si>
  <si>
    <t>TOTAL VARIABLE COST</t>
  </si>
  <si>
    <t>FUEL COST</t>
  </si>
  <si>
    <t>AUXILLARY POWER COST</t>
  </si>
  <si>
    <t>TOTAL FUEL COST</t>
  </si>
  <si>
    <t xml:space="preserve">TOTAL FIX COST </t>
  </si>
  <si>
    <t>STEAM COST</t>
  </si>
  <si>
    <t>NCV</t>
  </si>
  <si>
    <t>Rs./Tonne or Rs/SCM</t>
  </si>
  <si>
    <t>MT or SCM</t>
  </si>
  <si>
    <t xml:space="preserve">Tonne/hr or SCM/hr </t>
  </si>
  <si>
    <t>Steam cost with FO</t>
  </si>
  <si>
    <t>Steam cost with Imported Coal</t>
  </si>
  <si>
    <t>AML FBC Project: Steam cost analysis for Additionality</t>
  </si>
  <si>
    <t>BASE</t>
  </si>
  <si>
    <t>Steam cost with Lignite</t>
  </si>
  <si>
    <t>42-38</t>
  </si>
  <si>
    <t>Tonnes per year</t>
  </si>
  <si>
    <t>Total approximate investment</t>
  </si>
  <si>
    <t>Lacs Rs.</t>
  </si>
  <si>
    <t>Rate of Interest</t>
  </si>
  <si>
    <t>UNIT STEAM COST</t>
  </si>
  <si>
    <t>TOTAL COST A+B</t>
  </si>
  <si>
    <t xml:space="preserve">Calculated </t>
  </si>
  <si>
    <t>Calculated</t>
  </si>
  <si>
    <t>Levelized Unit Cost Analysis with different alternatives in FBC boiler project</t>
  </si>
  <si>
    <t>Calculated on the basis steam generation rate and difference between specific enthalpies of steam and water for each type boiler</t>
  </si>
  <si>
    <t xml:space="preserve">Calculated on the basis of heat input and NCV of individual fuel </t>
  </si>
  <si>
    <t>S.No</t>
  </si>
  <si>
    <t>Boiler Steam Generation per hour</t>
  </si>
  <si>
    <t>Boiler Efficiency</t>
  </si>
  <si>
    <t>NCV of fuels</t>
  </si>
  <si>
    <t>Annual Fuel consumption- Estimated</t>
  </si>
  <si>
    <t>Fuel consumption rate</t>
  </si>
  <si>
    <t>Fuel Price</t>
  </si>
  <si>
    <t>Annual Fuel Cost</t>
  </si>
  <si>
    <t>Auxiliary power units consumed</t>
  </si>
  <si>
    <t>AUXILARY POWER COST</t>
  </si>
  <si>
    <t xml:space="preserve">Cost of auxilary power </t>
  </si>
  <si>
    <t xml:space="preserve">Cost of GEB power </t>
  </si>
  <si>
    <t>Annual DM Water cost per annum</t>
  </si>
  <si>
    <t>Mantainanace expenses</t>
  </si>
  <si>
    <t xml:space="preserve">Annual Steam generated </t>
  </si>
  <si>
    <t>Levelised Cost of generation</t>
  </si>
  <si>
    <t xml:space="preserve">Annual interest </t>
  </si>
  <si>
    <t>UoM</t>
  </si>
  <si>
    <t>FO</t>
  </si>
  <si>
    <t>Coal</t>
  </si>
  <si>
    <t>Biomass Residue i.e. DOC</t>
  </si>
  <si>
    <t>Steam Cost with</t>
  </si>
  <si>
    <t>Sources</t>
  </si>
  <si>
    <r>
      <t>Calculated for annual operation hours as per Boiler manufacturer (Reference to annual operation hours for each type of boiler are given in detailed offer)</t>
    </r>
  </si>
  <si>
    <t>Ref 1. Final and Detailed offer from Cethar Vessels for 13 TPH Coal fired boiler
Ref 2. Final and Detailed offer from Cethar Vessels for 13 TPH Biomass fired boiler                                                                                                              Ref 3. Final and Detailed offer from Micro Dynamics for 13 TPH FO fired boiler</t>
  </si>
  <si>
    <t>Standard Steam Table for saturated and dry steam</t>
  </si>
  <si>
    <t>A</t>
  </si>
  <si>
    <t>B</t>
  </si>
  <si>
    <t>C</t>
  </si>
  <si>
    <t>D</t>
  </si>
  <si>
    <t>E</t>
  </si>
  <si>
    <t>F</t>
  </si>
  <si>
    <t>Total Variable Cost</t>
  </si>
  <si>
    <t>WATER COST</t>
  </si>
  <si>
    <t>INTEREST ON INVESTMENT</t>
  </si>
  <si>
    <t xml:space="preserve">Ref 4. NCV for FO is based on test reports from Khusbu Lab.
NCV for Coal is based on IPCC 2006 guidelines.
Ref 5. NCV for DOC is based on test report of NLRC Lab.
</t>
  </si>
  <si>
    <t>Ref 6. FO price from IOCL typical price invoice
Ref 7. Coal price from Coal supplier's Invoice (M/s Agrawal Coal)
Ref 8. Letter from Biomass supplier in the project area (M/s Ardip agency )</t>
  </si>
  <si>
    <t>Ref 9. GEB Bill Analysi (Sample Bill Aug 2001)</t>
  </si>
  <si>
    <t>Ref 10. Internal note that refers to DM water cost and approximate consumption for project</t>
  </si>
  <si>
    <t xml:space="preserve">Ref 11. An inter-office memo for salary offer for boiler operator personnel as per The Arvind Mills Lts, HR policy has been provided. </t>
  </si>
  <si>
    <t>Ref 12. Inter-office communication from Finance department of Arvind mills for interest rate on steam generation project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</si>
</sst>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
  </numFmts>
  <fonts count="16">
    <font>
      <sz val="10"/>
      <name val="Arial"/>
      <family val="0"/>
    </font>
    <font>
      <b/>
      <sz val="12"/>
      <name val="Arial Narrow"/>
      <family val="2"/>
    </font>
    <font>
      <sz val="12"/>
      <name val="Arial Narrow"/>
      <family val="2"/>
    </font>
    <font>
      <vertAlign val="superscript"/>
      <sz val="12"/>
      <name val="Arial Narrow"/>
      <family val="2"/>
    </font>
    <font>
      <b/>
      <sz val="12"/>
      <color indexed="10"/>
      <name val="Arial Narrow"/>
      <family val="2"/>
    </font>
    <font>
      <b/>
      <sz val="14"/>
      <color indexed="9"/>
      <name val="Arial Narrow"/>
      <family val="2"/>
    </font>
    <font>
      <b/>
      <u val="single"/>
      <sz val="12"/>
      <color indexed="10"/>
      <name val="Arial Narrow"/>
      <family val="2"/>
    </font>
    <font>
      <sz val="8"/>
      <name val="Tahoma"/>
      <family val="0"/>
    </font>
    <font>
      <b/>
      <sz val="8"/>
      <name val="Tahoma"/>
      <family val="0"/>
    </font>
    <font>
      <b/>
      <sz val="12"/>
      <name val="Arial"/>
      <family val="2"/>
    </font>
    <font>
      <sz val="12"/>
      <name val="Arial"/>
      <family val="2"/>
    </font>
    <font>
      <sz val="8"/>
      <name val="Arial"/>
      <family val="0"/>
    </font>
    <font>
      <u val="single"/>
      <sz val="10"/>
      <color indexed="12"/>
      <name val="Arial"/>
      <family val="0"/>
    </font>
    <font>
      <u val="single"/>
      <sz val="10"/>
      <color indexed="36"/>
      <name val="Arial"/>
      <family val="0"/>
    </font>
    <font>
      <b/>
      <sz val="16"/>
      <name val="Arial"/>
      <family val="2"/>
    </font>
    <font>
      <b/>
      <sz val="8"/>
      <name val="Arial"/>
      <family val="2"/>
    </font>
  </fonts>
  <fills count="14">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22"/>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16"/>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2" fillId="0" borderId="1" xfId="0" applyFont="1" applyBorder="1" applyAlignment="1">
      <alignment horizontal="center"/>
    </xf>
    <xf numFmtId="172" fontId="2" fillId="0" borderId="1" xfId="0" applyNumberFormat="1" applyFont="1" applyBorder="1" applyAlignment="1">
      <alignment horizontal="center"/>
    </xf>
    <xf numFmtId="1" fontId="1" fillId="0" borderId="1" xfId="0" applyNumberFormat="1" applyFont="1" applyBorder="1" applyAlignment="1">
      <alignment horizontal="center"/>
    </xf>
    <xf numFmtId="0" fontId="4" fillId="0" borderId="1" xfId="0" applyFont="1" applyBorder="1" applyAlignment="1">
      <alignment horizontal="center"/>
    </xf>
    <xf numFmtId="2" fontId="1" fillId="0" borderId="1" xfId="0" applyNumberFormat="1" applyFont="1" applyBorder="1" applyAlignment="1">
      <alignment horizontal="center"/>
    </xf>
    <xf numFmtId="172" fontId="1" fillId="0" borderId="1" xfId="0" applyNumberFormat="1" applyFont="1" applyBorder="1" applyAlignment="1">
      <alignment horizontal="center"/>
    </xf>
    <xf numFmtId="0" fontId="2" fillId="0" borderId="1" xfId="0" applyFont="1" applyBorder="1" applyAlignment="1">
      <alignment/>
    </xf>
    <xf numFmtId="0" fontId="2" fillId="0" borderId="0" xfId="0" applyFont="1" applyBorder="1" applyAlignment="1">
      <alignment/>
    </xf>
    <xf numFmtId="0" fontId="1" fillId="0" borderId="0" xfId="0" applyFont="1" applyBorder="1" applyAlignment="1">
      <alignment/>
    </xf>
    <xf numFmtId="0" fontId="1" fillId="2" borderId="1" xfId="0" applyFont="1" applyFill="1" applyBorder="1" applyAlignment="1">
      <alignment horizontal="left" vertical="center" wrapText="1"/>
    </xf>
    <xf numFmtId="3" fontId="2" fillId="0" borderId="1" xfId="0" applyNumberFormat="1" applyFont="1" applyBorder="1" applyAlignment="1">
      <alignment horizontal="center"/>
    </xf>
    <xf numFmtId="0" fontId="4" fillId="0" borderId="1" xfId="0" applyFont="1" applyBorder="1" applyAlignment="1">
      <alignment/>
    </xf>
    <xf numFmtId="0" fontId="1" fillId="0" borderId="1" xfId="0" applyFont="1" applyBorder="1" applyAlignment="1">
      <alignment/>
    </xf>
    <xf numFmtId="0" fontId="1" fillId="3" borderId="1" xfId="0" applyFont="1" applyFill="1" applyBorder="1" applyAlignment="1">
      <alignment/>
    </xf>
    <xf numFmtId="0" fontId="1" fillId="4" borderId="1" xfId="0" applyFont="1" applyFill="1" applyBorder="1" applyAlignment="1">
      <alignment/>
    </xf>
    <xf numFmtId="2" fontId="2" fillId="0" borderId="1" xfId="0" applyNumberFormat="1" applyFont="1" applyBorder="1" applyAlignment="1">
      <alignment horizontal="center"/>
    </xf>
    <xf numFmtId="0" fontId="1" fillId="0" borderId="1" xfId="0" applyFont="1" applyBorder="1" applyAlignment="1">
      <alignment horizontal="left"/>
    </xf>
    <xf numFmtId="0" fontId="2" fillId="0" borderId="1" xfId="0" applyFont="1" applyBorder="1" applyAlignment="1">
      <alignment wrapText="1"/>
    </xf>
    <xf numFmtId="3" fontId="1" fillId="0" borderId="1" xfId="0" applyNumberFormat="1" applyFont="1" applyBorder="1" applyAlignment="1">
      <alignment horizontal="center"/>
    </xf>
    <xf numFmtId="174" fontId="2" fillId="0" borderId="1" xfId="0" applyNumberFormat="1" applyFont="1" applyBorder="1" applyAlignment="1">
      <alignment horizontal="center"/>
    </xf>
    <xf numFmtId="0" fontId="2" fillId="0" borderId="0" xfId="0" applyFont="1" applyBorder="1" applyAlignment="1">
      <alignment horizontal="left"/>
    </xf>
    <xf numFmtId="0" fontId="2" fillId="0" borderId="1" xfId="0" applyFont="1" applyBorder="1" applyAlignment="1">
      <alignment horizontal="left"/>
    </xf>
    <xf numFmtId="0" fontId="3" fillId="0" borderId="1" xfId="0" applyFont="1" applyBorder="1" applyAlignment="1">
      <alignment horizontal="left"/>
    </xf>
    <xf numFmtId="0" fontId="4" fillId="0" borderId="1" xfId="0" applyFont="1" applyBorder="1" applyAlignment="1">
      <alignment horizontal="left"/>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left"/>
    </xf>
    <xf numFmtId="174" fontId="1" fillId="5" borderId="1" xfId="0" applyNumberFormat="1" applyFont="1" applyFill="1" applyBorder="1" applyAlignment="1">
      <alignment horizontal="center"/>
    </xf>
    <xf numFmtId="0" fontId="1" fillId="6" borderId="1" xfId="0" applyFont="1" applyFill="1" applyBorder="1" applyAlignment="1">
      <alignment horizontal="center" vertical="center" wrapText="1"/>
    </xf>
    <xf numFmtId="0" fontId="2" fillId="6" borderId="1" xfId="0" applyFont="1" applyFill="1" applyBorder="1" applyAlignment="1">
      <alignment horizontal="center"/>
    </xf>
    <xf numFmtId="3" fontId="2" fillId="6" borderId="1" xfId="0" applyNumberFormat="1" applyFont="1" applyFill="1" applyBorder="1" applyAlignment="1">
      <alignment horizontal="center"/>
    </xf>
    <xf numFmtId="172" fontId="2" fillId="6" borderId="1" xfId="0" applyNumberFormat="1" applyFont="1" applyFill="1" applyBorder="1" applyAlignment="1">
      <alignment horizontal="center"/>
    </xf>
    <xf numFmtId="1" fontId="1" fillId="6" borderId="1" xfId="0" applyNumberFormat="1" applyFont="1" applyFill="1" applyBorder="1" applyAlignment="1">
      <alignment horizontal="center"/>
    </xf>
    <xf numFmtId="0" fontId="4" fillId="6" borderId="1" xfId="0" applyFont="1" applyFill="1" applyBorder="1" applyAlignment="1">
      <alignment horizontal="center"/>
    </xf>
    <xf numFmtId="2" fontId="1" fillId="6" borderId="1" xfId="0" applyNumberFormat="1" applyFont="1" applyFill="1" applyBorder="1" applyAlignment="1">
      <alignment horizontal="center"/>
    </xf>
    <xf numFmtId="2" fontId="2" fillId="6" borderId="1" xfId="0" applyNumberFormat="1" applyFont="1" applyFill="1" applyBorder="1" applyAlignment="1">
      <alignment horizontal="center"/>
    </xf>
    <xf numFmtId="172" fontId="1" fillId="6" borderId="1" xfId="0" applyNumberFormat="1" applyFont="1" applyFill="1" applyBorder="1" applyAlignment="1">
      <alignment horizontal="center"/>
    </xf>
    <xf numFmtId="0" fontId="2" fillId="6" borderId="1" xfId="0" applyFont="1" applyFill="1" applyBorder="1" applyAlignment="1">
      <alignment/>
    </xf>
    <xf numFmtId="3" fontId="1" fillId="6" borderId="1" xfId="0" applyNumberFormat="1" applyFont="1" applyFill="1" applyBorder="1" applyAlignment="1">
      <alignment horizontal="center"/>
    </xf>
    <xf numFmtId="174" fontId="2" fillId="6" borderId="1" xfId="0" applyNumberFormat="1" applyFont="1" applyFill="1" applyBorder="1" applyAlignment="1">
      <alignment horizontal="center"/>
    </xf>
    <xf numFmtId="174" fontId="1" fillId="6" borderId="1" xfId="0" applyNumberFormat="1" applyFont="1" applyFill="1" applyBorder="1" applyAlignment="1">
      <alignment horizontal="center"/>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0" borderId="0" xfId="0" applyFont="1" applyBorder="1" applyAlignment="1">
      <alignment horizontal="center"/>
    </xf>
    <xf numFmtId="0" fontId="1" fillId="8" borderId="1" xfId="0" applyFont="1" applyFill="1" applyBorder="1" applyAlignment="1">
      <alignment/>
    </xf>
    <xf numFmtId="0" fontId="1" fillId="9" borderId="1" xfId="0" applyFont="1" applyFill="1" applyBorder="1" applyAlignment="1">
      <alignment/>
    </xf>
    <xf numFmtId="0" fontId="2" fillId="10" borderId="1" xfId="0" applyFont="1" applyFill="1" applyBorder="1" applyAlignment="1">
      <alignment horizontal="center"/>
    </xf>
    <xf numFmtId="2" fontId="2" fillId="0" borderId="0" xfId="0" applyNumberFormat="1" applyFont="1" applyBorder="1" applyAlignment="1">
      <alignment/>
    </xf>
    <xf numFmtId="0" fontId="6" fillId="0" borderId="1" xfId="0" applyFont="1" applyBorder="1" applyAlignment="1">
      <alignment horizontal="center"/>
    </xf>
    <xf numFmtId="0" fontId="0" fillId="0" borderId="0" xfId="0" applyFont="1" applyAlignment="1">
      <alignment/>
    </xf>
    <xf numFmtId="0" fontId="9" fillId="0" borderId="0" xfId="0" applyFont="1" applyBorder="1" applyAlignment="1">
      <alignment/>
    </xf>
    <xf numFmtId="0" fontId="9" fillId="0" borderId="0" xfId="0" applyFont="1" applyBorder="1" applyAlignment="1">
      <alignment horizontal="center"/>
    </xf>
    <xf numFmtId="0" fontId="10" fillId="0" borderId="0" xfId="0" applyFont="1" applyBorder="1" applyAlignment="1">
      <alignment/>
    </xf>
    <xf numFmtId="0" fontId="9" fillId="2" borderId="1" xfId="0" applyFont="1" applyFill="1" applyBorder="1" applyAlignment="1">
      <alignment horizontal="left" vertical="center" wrapText="1"/>
    </xf>
    <xf numFmtId="174" fontId="0" fillId="0" borderId="0" xfId="0" applyNumberFormat="1" applyFont="1" applyAlignment="1">
      <alignment/>
    </xf>
    <xf numFmtId="0" fontId="9" fillId="7" borderId="1" xfId="0" applyFont="1" applyFill="1" applyBorder="1" applyAlignment="1">
      <alignment horizontal="left" vertical="center" wrapText="1"/>
    </xf>
    <xf numFmtId="0" fontId="9" fillId="7" borderId="1" xfId="0" applyFont="1" applyFill="1" applyBorder="1" applyAlignment="1">
      <alignment horizontal="center" vertical="center" wrapText="1"/>
    </xf>
    <xf numFmtId="0" fontId="0" fillId="0" borderId="0" xfId="0" applyFont="1" applyAlignment="1">
      <alignment horizontal="center"/>
    </xf>
    <xf numFmtId="0" fontId="9" fillId="2" borderId="1" xfId="0" applyFont="1" applyFill="1" applyBorder="1" applyAlignment="1">
      <alignment horizontal="center" vertical="center" wrapText="1"/>
    </xf>
    <xf numFmtId="0" fontId="0" fillId="2" borderId="1" xfId="0" applyFont="1" applyFill="1" applyBorder="1" applyAlignment="1">
      <alignment/>
    </xf>
    <xf numFmtId="0" fontId="10" fillId="0" borderId="0" xfId="0" applyFont="1" applyBorder="1" applyAlignment="1">
      <alignment horizontal="center"/>
    </xf>
    <xf numFmtId="0" fontId="0" fillId="0" borderId="0" xfId="0" applyFont="1" applyAlignment="1">
      <alignment horizontal="justify" vertical="top" wrapText="1"/>
    </xf>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11"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0" fillId="0" borderId="0" xfId="0" applyFont="1" applyAlignment="1">
      <alignment horizontal="left" vertical="top" wrapText="1"/>
    </xf>
    <xf numFmtId="3" fontId="10" fillId="0" borderId="1" xfId="0" applyNumberFormat="1" applyFont="1" applyFill="1" applyBorder="1" applyAlignment="1">
      <alignment horizontal="left" vertical="top" wrapText="1"/>
    </xf>
    <xf numFmtId="3" fontId="10" fillId="0" borderId="1" xfId="0" applyNumberFormat="1" applyFont="1" applyBorder="1" applyAlignment="1">
      <alignment horizontal="left" vertical="top" wrapText="1"/>
    </xf>
    <xf numFmtId="1" fontId="10" fillId="0" borderId="1" xfId="0" applyNumberFormat="1" applyFont="1" applyFill="1" applyBorder="1" applyAlignment="1">
      <alignment horizontal="left" vertical="top" wrapText="1"/>
    </xf>
    <xf numFmtId="172" fontId="10" fillId="0" borderId="1" xfId="0" applyNumberFormat="1" applyFont="1" applyFill="1" applyBorder="1" applyAlignment="1">
      <alignment horizontal="left" vertical="top" wrapText="1"/>
    </xf>
    <xf numFmtId="172" fontId="10" fillId="0" borderId="1" xfId="0" applyNumberFormat="1" applyFont="1" applyBorder="1" applyAlignment="1">
      <alignment horizontal="left" vertical="top" wrapText="1"/>
    </xf>
    <xf numFmtId="1" fontId="10"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2" fontId="10" fillId="0" borderId="1" xfId="0" applyNumberFormat="1" applyFont="1" applyFill="1" applyBorder="1" applyAlignment="1">
      <alignment horizontal="left" vertical="top" wrapText="1"/>
    </xf>
    <xf numFmtId="2" fontId="10" fillId="0" borderId="1" xfId="0" applyNumberFormat="1" applyFont="1" applyBorder="1" applyAlignment="1">
      <alignment horizontal="left" vertical="top" wrapText="1"/>
    </xf>
    <xf numFmtId="0" fontId="9" fillId="3" borderId="1" xfId="0" applyFont="1" applyFill="1" applyBorder="1" applyAlignment="1">
      <alignment horizontal="left" vertical="top" wrapText="1"/>
    </xf>
    <xf numFmtId="0" fontId="9" fillId="11" borderId="1" xfId="0" applyFont="1" applyFill="1" applyBorder="1" applyAlignment="1">
      <alignment horizontal="left" vertical="top" wrapText="1"/>
    </xf>
    <xf numFmtId="2" fontId="10" fillId="11"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9" fontId="10" fillId="0" borderId="1" xfId="0" applyNumberFormat="1" applyFont="1" applyBorder="1" applyAlignment="1">
      <alignment horizontal="left" vertical="top" wrapText="1"/>
    </xf>
    <xf numFmtId="0" fontId="9" fillId="8" borderId="1" xfId="0" applyFont="1" applyFill="1" applyBorder="1" applyAlignment="1">
      <alignment horizontal="left" vertical="top" wrapText="1"/>
    </xf>
    <xf numFmtId="0" fontId="10" fillId="10"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0" xfId="0" applyFont="1" applyAlignment="1">
      <alignment horizontal="center"/>
    </xf>
    <xf numFmtId="0" fontId="9" fillId="0" borderId="1" xfId="0" applyFont="1" applyFill="1" applyBorder="1" applyAlignment="1">
      <alignment horizontal="center" vertical="top" wrapText="1"/>
    </xf>
    <xf numFmtId="0" fontId="9" fillId="11" borderId="1"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12" borderId="1" xfId="0" applyFont="1" applyFill="1" applyBorder="1" applyAlignment="1">
      <alignment horizontal="center" vertical="top" wrapText="1"/>
    </xf>
    <xf numFmtId="0" fontId="9" fillId="12" borderId="1" xfId="0" applyFont="1" applyFill="1" applyBorder="1" applyAlignment="1">
      <alignment horizontal="left" vertical="top" wrapText="1"/>
    </xf>
    <xf numFmtId="0" fontId="10" fillId="12" borderId="1" xfId="0" applyFont="1" applyFill="1" applyBorder="1" applyAlignment="1">
      <alignment horizontal="left" vertical="top" wrapText="1"/>
    </xf>
    <xf numFmtId="2" fontId="10" fillId="12" borderId="1" xfId="0" applyNumberFormat="1" applyFont="1" applyFill="1" applyBorder="1" applyAlignment="1">
      <alignment horizontal="left" vertical="top" wrapText="1"/>
    </xf>
    <xf numFmtId="0" fontId="5" fillId="13" borderId="0" xfId="0" applyFont="1" applyFill="1" applyBorder="1" applyAlignment="1">
      <alignment horizontal="left"/>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4" fillId="0" borderId="0" xfId="0" applyFont="1" applyFill="1" applyBorder="1" applyAlignment="1">
      <alignment horizontal="left"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7"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I49"/>
  <sheetViews>
    <sheetView workbookViewId="0" topLeftCell="A1">
      <pane xSplit="2" ySplit="4" topLeftCell="C41" activePane="bottomRight" state="frozen"/>
      <selection pane="topLeft" activeCell="A1" sqref="A1"/>
      <selection pane="topRight" activeCell="C1" sqref="C1"/>
      <selection pane="bottomLeft" activeCell="A5" sqref="A5"/>
      <selection pane="bottomRight" activeCell="B21" sqref="B21"/>
    </sheetView>
  </sheetViews>
  <sheetFormatPr defaultColWidth="9.140625" defaultRowHeight="12.75"/>
  <cols>
    <col min="1" max="1" width="1.8515625" style="8" customWidth="1"/>
    <col min="2" max="2" width="31.00390625" style="8" customWidth="1"/>
    <col min="3" max="3" width="20.57421875" style="21" bestFit="1" customWidth="1"/>
    <col min="4" max="9" width="15.7109375" style="8" customWidth="1"/>
    <col min="10" max="16384" width="9.140625" style="8" customWidth="1"/>
  </cols>
  <sheetData>
    <row r="2" spans="2:9" ht="18">
      <c r="B2" s="98" t="s">
        <v>64</v>
      </c>
      <c r="C2" s="98"/>
      <c r="D2" s="98"/>
      <c r="E2" s="98"/>
      <c r="F2" s="98"/>
      <c r="G2" s="98"/>
      <c r="H2" s="98"/>
      <c r="I2" s="98"/>
    </row>
    <row r="3" spans="2:7" ht="15.75">
      <c r="B3" s="9"/>
      <c r="F3" s="45" t="s">
        <v>65</v>
      </c>
      <c r="G3" s="45"/>
    </row>
    <row r="4" spans="2:9" ht="31.5">
      <c r="B4" s="43" t="s">
        <v>0</v>
      </c>
      <c r="C4" s="44" t="s">
        <v>1</v>
      </c>
      <c r="D4" s="43" t="s">
        <v>48</v>
      </c>
      <c r="E4" s="43" t="s">
        <v>49</v>
      </c>
      <c r="F4" s="30" t="s">
        <v>62</v>
      </c>
      <c r="G4" s="43" t="s">
        <v>66</v>
      </c>
      <c r="H4" s="43" t="s">
        <v>63</v>
      </c>
      <c r="I4" s="43" t="s">
        <v>50</v>
      </c>
    </row>
    <row r="5" spans="2:9" ht="15.75">
      <c r="B5" s="10" t="s">
        <v>53</v>
      </c>
      <c r="C5" s="25"/>
      <c r="D5" s="26"/>
      <c r="E5" s="26"/>
      <c r="F5" s="30"/>
      <c r="G5" s="26"/>
      <c r="H5" s="26"/>
      <c r="I5" s="26"/>
    </row>
    <row r="6" spans="2:9" ht="15.75">
      <c r="B6" s="7" t="s">
        <v>41</v>
      </c>
      <c r="C6" s="22" t="s">
        <v>2</v>
      </c>
      <c r="D6" s="1">
        <v>13000</v>
      </c>
      <c r="E6" s="1">
        <v>13000</v>
      </c>
      <c r="F6" s="31">
        <v>13000</v>
      </c>
      <c r="G6" s="1">
        <v>13000</v>
      </c>
      <c r="H6" s="1">
        <v>13000</v>
      </c>
      <c r="I6" s="1">
        <v>13000</v>
      </c>
    </row>
    <row r="7" spans="2:9" ht="15.75">
      <c r="B7" s="7" t="s">
        <v>3</v>
      </c>
      <c r="C7" s="22" t="s">
        <v>4</v>
      </c>
      <c r="D7" s="1">
        <v>663</v>
      </c>
      <c r="E7" s="1">
        <v>663</v>
      </c>
      <c r="F7" s="31">
        <v>663</v>
      </c>
      <c r="G7" s="1">
        <v>663</v>
      </c>
      <c r="H7" s="1">
        <v>663</v>
      </c>
      <c r="I7" s="1">
        <v>663</v>
      </c>
    </row>
    <row r="8" spans="2:9" ht="18.75">
      <c r="B8" s="7" t="s">
        <v>5</v>
      </c>
      <c r="C8" s="23" t="s">
        <v>47</v>
      </c>
      <c r="D8" s="1">
        <v>35</v>
      </c>
      <c r="E8" s="1">
        <v>35</v>
      </c>
      <c r="F8" s="31">
        <v>35</v>
      </c>
      <c r="G8" s="1">
        <v>35</v>
      </c>
      <c r="H8" s="1">
        <v>35</v>
      </c>
      <c r="I8" s="1">
        <v>35</v>
      </c>
    </row>
    <row r="9" spans="2:9" ht="15.75">
      <c r="B9" s="7" t="s">
        <v>6</v>
      </c>
      <c r="C9" s="22" t="s">
        <v>7</v>
      </c>
      <c r="D9" s="1">
        <f aca="true" t="shared" si="0" ref="D9:I9">(D7-D8)*D6</f>
        <v>8164000</v>
      </c>
      <c r="E9" s="1">
        <f t="shared" si="0"/>
        <v>8164000</v>
      </c>
      <c r="F9" s="31">
        <f t="shared" si="0"/>
        <v>8164000</v>
      </c>
      <c r="G9" s="1">
        <f t="shared" si="0"/>
        <v>8164000</v>
      </c>
      <c r="H9" s="1">
        <f t="shared" si="0"/>
        <v>8164000</v>
      </c>
      <c r="I9" s="1">
        <f t="shared" si="0"/>
        <v>8164000</v>
      </c>
    </row>
    <row r="10" spans="2:9" ht="15.75">
      <c r="B10" s="7" t="s">
        <v>8</v>
      </c>
      <c r="C10" s="22" t="s">
        <v>9</v>
      </c>
      <c r="D10" s="1">
        <f>80/100</f>
        <v>0.8</v>
      </c>
      <c r="E10" s="1">
        <f>78/100</f>
        <v>0.78</v>
      </c>
      <c r="F10" s="31">
        <f>85/100</f>
        <v>0.85</v>
      </c>
      <c r="G10" s="1">
        <v>0.82</v>
      </c>
      <c r="H10" s="1">
        <v>0.82</v>
      </c>
      <c r="I10" s="1">
        <v>0.9</v>
      </c>
    </row>
    <row r="11" spans="2:9" ht="15.75">
      <c r="B11" s="7" t="s">
        <v>10</v>
      </c>
      <c r="C11" s="22" t="s">
        <v>7</v>
      </c>
      <c r="D11" s="11">
        <f aca="true" t="shared" si="1" ref="D11:I11">D9/D10</f>
        <v>10205000</v>
      </c>
      <c r="E11" s="11">
        <f t="shared" si="1"/>
        <v>10466666.666666666</v>
      </c>
      <c r="F11" s="32">
        <f t="shared" si="1"/>
        <v>9604705.88235294</v>
      </c>
      <c r="G11" s="11">
        <f t="shared" si="1"/>
        <v>9956097.560975611</v>
      </c>
      <c r="H11" s="11">
        <f t="shared" si="1"/>
        <v>9956097.560975611</v>
      </c>
      <c r="I11" s="11">
        <f t="shared" si="1"/>
        <v>9071111.11111111</v>
      </c>
    </row>
    <row r="12" spans="2:9" ht="15.75">
      <c r="B12" s="7" t="s">
        <v>58</v>
      </c>
      <c r="C12" s="22" t="s">
        <v>4</v>
      </c>
      <c r="D12" s="1">
        <v>4200</v>
      </c>
      <c r="E12" s="1">
        <v>3500</v>
      </c>
      <c r="F12" s="31">
        <v>9650</v>
      </c>
      <c r="G12" s="1">
        <v>5000</v>
      </c>
      <c r="H12" s="1">
        <v>4700</v>
      </c>
      <c r="I12" s="1">
        <v>8350</v>
      </c>
    </row>
    <row r="13" spans="2:9" ht="15.75">
      <c r="B13" s="7" t="s">
        <v>11</v>
      </c>
      <c r="C13" s="22" t="s">
        <v>61</v>
      </c>
      <c r="D13" s="2">
        <f>D11/D12/1000</f>
        <v>2.4297619047619046</v>
      </c>
      <c r="E13" s="2">
        <f>E11/E12/1000</f>
        <v>2.9904761904761905</v>
      </c>
      <c r="F13" s="33">
        <f>F11/F12/1000</f>
        <v>0.9953063090521181</v>
      </c>
      <c r="G13" s="2">
        <f>G11/G12/1000</f>
        <v>1.9912195121951222</v>
      </c>
      <c r="H13" s="2">
        <f>H11/H12/1000</f>
        <v>2.118318629994811</v>
      </c>
      <c r="I13" s="2">
        <f>I11/I12</f>
        <v>1086.360612109115</v>
      </c>
    </row>
    <row r="14" spans="2:9" ht="15.75">
      <c r="B14" s="7" t="s">
        <v>42</v>
      </c>
      <c r="C14" s="22" t="s">
        <v>60</v>
      </c>
      <c r="D14" s="3">
        <f>D13*8400</f>
        <v>20410</v>
      </c>
      <c r="E14" s="3">
        <f>E13*8400</f>
        <v>25120</v>
      </c>
      <c r="F14" s="34">
        <f>F13*8500</f>
        <v>8460.103626943004</v>
      </c>
      <c r="G14" s="3">
        <f>G13*8400</f>
        <v>16726.243902439026</v>
      </c>
      <c r="H14" s="3">
        <f>H13*8400</f>
        <v>17793.876491956413</v>
      </c>
      <c r="I14" s="3">
        <f>I13*8400</f>
        <v>9125429.141716566</v>
      </c>
    </row>
    <row r="15" spans="2:9" ht="15.75">
      <c r="B15" s="12" t="s">
        <v>12</v>
      </c>
      <c r="C15" s="24" t="s">
        <v>59</v>
      </c>
      <c r="D15" s="4">
        <v>1800</v>
      </c>
      <c r="E15" s="4">
        <v>1150</v>
      </c>
      <c r="F15" s="35">
        <v>11900</v>
      </c>
      <c r="G15" s="4">
        <v>1850</v>
      </c>
      <c r="H15" s="50">
        <v>2395</v>
      </c>
      <c r="I15" s="4">
        <v>5.7</v>
      </c>
    </row>
    <row r="16" spans="2:9" ht="15.75">
      <c r="B16" s="13" t="s">
        <v>55</v>
      </c>
      <c r="C16" s="17" t="s">
        <v>13</v>
      </c>
      <c r="D16" s="5">
        <f aca="true" t="shared" si="2" ref="D16:I16">D15*D13*8400/100000</f>
        <v>367.38</v>
      </c>
      <c r="E16" s="5">
        <f t="shared" si="2"/>
        <v>288.88</v>
      </c>
      <c r="F16" s="36">
        <f t="shared" si="2"/>
        <v>994.9081865284974</v>
      </c>
      <c r="G16" s="5">
        <f t="shared" si="2"/>
        <v>309.435512195122</v>
      </c>
      <c r="H16" s="5">
        <f t="shared" si="2"/>
        <v>426.1633419823561</v>
      </c>
      <c r="I16" s="5">
        <f t="shared" si="2"/>
        <v>520.1494610778443</v>
      </c>
    </row>
    <row r="17" spans="2:9" ht="15.75">
      <c r="B17" s="7"/>
      <c r="C17" s="22"/>
      <c r="D17" s="1"/>
      <c r="E17" s="1"/>
      <c r="F17" s="31"/>
      <c r="G17" s="1"/>
      <c r="H17" s="1"/>
      <c r="I17" s="1"/>
    </row>
    <row r="18" spans="2:9" ht="15.75">
      <c r="B18" s="14" t="s">
        <v>54</v>
      </c>
      <c r="C18" s="28"/>
      <c r="D18" s="27"/>
      <c r="E18" s="27"/>
      <c r="F18" s="31"/>
      <c r="G18" s="27"/>
      <c r="H18" s="27"/>
      <c r="I18" s="27"/>
    </row>
    <row r="19" spans="2:9" ht="15.75">
      <c r="B19" s="7" t="s">
        <v>14</v>
      </c>
      <c r="C19" s="22" t="s">
        <v>15</v>
      </c>
      <c r="D19" s="27">
        <v>180</v>
      </c>
      <c r="E19" s="27">
        <v>180</v>
      </c>
      <c r="F19" s="31">
        <v>135</v>
      </c>
      <c r="G19" s="27">
        <v>210</v>
      </c>
      <c r="H19" s="27">
        <v>210</v>
      </c>
      <c r="I19" s="27">
        <v>110</v>
      </c>
    </row>
    <row r="20" spans="2:9" ht="15.75">
      <c r="B20" s="7" t="s">
        <v>16</v>
      </c>
      <c r="C20" s="22" t="s">
        <v>17</v>
      </c>
      <c r="D20" s="1">
        <v>4.2</v>
      </c>
      <c r="E20" s="1">
        <v>4.2</v>
      </c>
      <c r="F20" s="31">
        <v>4.2</v>
      </c>
      <c r="G20" s="31">
        <v>4.2</v>
      </c>
      <c r="H20" s="31">
        <v>4.2</v>
      </c>
      <c r="I20" s="31">
        <v>4.2</v>
      </c>
    </row>
    <row r="21" spans="2:9" ht="15.75">
      <c r="B21" s="13" t="s">
        <v>18</v>
      </c>
      <c r="C21" s="17" t="s">
        <v>13</v>
      </c>
      <c r="D21" s="5">
        <f aca="true" t="shared" si="3" ref="D21:I21">D19*D20*8400/100000</f>
        <v>63.504</v>
      </c>
      <c r="E21" s="5">
        <f t="shared" si="3"/>
        <v>63.504</v>
      </c>
      <c r="F21" s="36">
        <f t="shared" si="3"/>
        <v>47.628</v>
      </c>
      <c r="G21" s="5">
        <f t="shared" si="3"/>
        <v>74.088</v>
      </c>
      <c r="H21" s="5">
        <f t="shared" si="3"/>
        <v>74.088</v>
      </c>
      <c r="I21" s="5">
        <f t="shared" si="3"/>
        <v>38.808</v>
      </c>
    </row>
    <row r="22" spans="2:9" ht="15.75">
      <c r="B22" s="13" t="s">
        <v>52</v>
      </c>
      <c r="C22" s="17"/>
      <c r="D22" s="5">
        <f aca="true" t="shared" si="4" ref="D22:I22">SUM(D16+D21)</f>
        <v>430.884</v>
      </c>
      <c r="E22" s="5">
        <f t="shared" si="4"/>
        <v>352.384</v>
      </c>
      <c r="F22" s="36">
        <f t="shared" si="4"/>
        <v>1042.5361865284974</v>
      </c>
      <c r="G22" s="5">
        <f t="shared" si="4"/>
        <v>383.52351219512195</v>
      </c>
      <c r="H22" s="5">
        <f t="shared" si="4"/>
        <v>500.25134198235605</v>
      </c>
      <c r="I22" s="5">
        <f t="shared" si="4"/>
        <v>558.9574610778443</v>
      </c>
    </row>
    <row r="23" spans="2:9" ht="15.75">
      <c r="B23" s="13"/>
      <c r="C23" s="17"/>
      <c r="D23" s="5"/>
      <c r="E23" s="5"/>
      <c r="F23" s="36"/>
      <c r="G23" s="5"/>
      <c r="H23" s="5"/>
      <c r="I23" s="5"/>
    </row>
    <row r="24" spans="2:9" ht="15.75">
      <c r="B24" s="15" t="s">
        <v>51</v>
      </c>
      <c r="C24" s="28"/>
      <c r="D24" s="27"/>
      <c r="E24" s="27"/>
      <c r="F24" s="31"/>
      <c r="G24" s="27"/>
      <c r="H24" s="27"/>
      <c r="I24" s="27"/>
    </row>
    <row r="25" spans="2:9" ht="15.75">
      <c r="B25" s="13" t="s">
        <v>19</v>
      </c>
      <c r="C25" s="22"/>
      <c r="D25" s="1"/>
      <c r="E25" s="1"/>
      <c r="F25" s="31"/>
      <c r="G25" s="1"/>
      <c r="H25" s="1"/>
      <c r="I25" s="1"/>
    </row>
    <row r="26" spans="2:9" ht="15.75">
      <c r="B26" s="7" t="s">
        <v>20</v>
      </c>
      <c r="C26" s="22" t="s">
        <v>21</v>
      </c>
      <c r="D26" s="1">
        <v>8</v>
      </c>
      <c r="E26" s="1">
        <v>8</v>
      </c>
      <c r="F26" s="31">
        <v>4</v>
      </c>
      <c r="G26" s="1">
        <v>8</v>
      </c>
      <c r="H26" s="1">
        <v>8</v>
      </c>
      <c r="I26" s="1">
        <v>4</v>
      </c>
    </row>
    <row r="27" spans="2:9" ht="15.75">
      <c r="B27" s="7" t="s">
        <v>22</v>
      </c>
      <c r="C27" s="22" t="s">
        <v>23</v>
      </c>
      <c r="D27" s="1">
        <v>6</v>
      </c>
      <c r="E27" s="1">
        <v>6</v>
      </c>
      <c r="F27" s="31">
        <v>0</v>
      </c>
      <c r="G27" s="1">
        <v>6</v>
      </c>
      <c r="H27" s="1">
        <v>6</v>
      </c>
      <c r="I27" s="1">
        <v>0</v>
      </c>
    </row>
    <row r="28" spans="2:9" ht="15.75">
      <c r="B28" s="7" t="s">
        <v>24</v>
      </c>
      <c r="C28" s="22" t="s">
        <v>25</v>
      </c>
      <c r="D28" s="1">
        <f aca="true" t="shared" si="5" ref="D28:I28">73078/8</f>
        <v>9134.75</v>
      </c>
      <c r="E28" s="1">
        <f t="shared" si="5"/>
        <v>9134.75</v>
      </c>
      <c r="F28" s="31">
        <f t="shared" si="5"/>
        <v>9134.75</v>
      </c>
      <c r="G28" s="1">
        <f t="shared" si="5"/>
        <v>9134.75</v>
      </c>
      <c r="H28" s="1">
        <f t="shared" si="5"/>
        <v>9134.75</v>
      </c>
      <c r="I28" s="1">
        <f t="shared" si="5"/>
        <v>9134.75</v>
      </c>
    </row>
    <row r="29" spans="2:9" ht="15.75">
      <c r="B29" s="7" t="s">
        <v>26</v>
      </c>
      <c r="C29" s="22" t="s">
        <v>25</v>
      </c>
      <c r="D29" s="1">
        <f aca="true" t="shared" si="6" ref="D29:I29">12960/6</f>
        <v>2160</v>
      </c>
      <c r="E29" s="1">
        <f t="shared" si="6"/>
        <v>2160</v>
      </c>
      <c r="F29" s="31">
        <f t="shared" si="6"/>
        <v>2160</v>
      </c>
      <c r="G29" s="1">
        <f t="shared" si="6"/>
        <v>2160</v>
      </c>
      <c r="H29" s="1">
        <f t="shared" si="6"/>
        <v>2160</v>
      </c>
      <c r="I29" s="1">
        <f t="shared" si="6"/>
        <v>2160</v>
      </c>
    </row>
    <row r="30" spans="2:9" ht="15.75">
      <c r="B30" s="7" t="s">
        <v>27</v>
      </c>
      <c r="C30" s="22" t="s">
        <v>13</v>
      </c>
      <c r="D30" s="1">
        <f aca="true" t="shared" si="7" ref="D30:I30">((D26*D28)+(D27*D29))*12/100000</f>
        <v>10.32456</v>
      </c>
      <c r="E30" s="1">
        <f t="shared" si="7"/>
        <v>10.32456</v>
      </c>
      <c r="F30" s="31">
        <f t="shared" si="7"/>
        <v>4.38468</v>
      </c>
      <c r="G30" s="1">
        <f t="shared" si="7"/>
        <v>10.32456</v>
      </c>
      <c r="H30" s="1">
        <f t="shared" si="7"/>
        <v>10.32456</v>
      </c>
      <c r="I30" s="1">
        <f t="shared" si="7"/>
        <v>4.38468</v>
      </c>
    </row>
    <row r="31" spans="2:9" ht="15.75">
      <c r="B31" s="7" t="s">
        <v>28</v>
      </c>
      <c r="C31" s="22" t="s">
        <v>13</v>
      </c>
      <c r="D31" s="1">
        <v>0.25</v>
      </c>
      <c r="E31" s="1">
        <v>0.25</v>
      </c>
      <c r="F31" s="31">
        <v>0.22</v>
      </c>
      <c r="G31" s="1">
        <v>0.25</v>
      </c>
      <c r="H31" s="1">
        <v>0.25</v>
      </c>
      <c r="I31" s="1">
        <v>0.25</v>
      </c>
    </row>
    <row r="32" spans="2:9" ht="15.75">
      <c r="B32" s="7" t="s">
        <v>29</v>
      </c>
      <c r="C32" s="22" t="s">
        <v>30</v>
      </c>
      <c r="D32" s="16">
        <v>12</v>
      </c>
      <c r="E32" s="16">
        <v>12</v>
      </c>
      <c r="F32" s="37">
        <v>0</v>
      </c>
      <c r="G32" s="16">
        <v>12</v>
      </c>
      <c r="H32" s="16">
        <v>12</v>
      </c>
      <c r="I32" s="16">
        <v>0</v>
      </c>
    </row>
    <row r="33" spans="2:9" ht="15.75">
      <c r="B33" s="7" t="s">
        <v>31</v>
      </c>
      <c r="C33" s="22" t="s">
        <v>32</v>
      </c>
      <c r="D33" s="16">
        <f>132*0.05</f>
        <v>6.6000000000000005</v>
      </c>
      <c r="E33" s="16">
        <f>132*0.05</f>
        <v>6.6000000000000005</v>
      </c>
      <c r="F33" s="37">
        <v>2</v>
      </c>
      <c r="G33" s="16">
        <f>132*0.05</f>
        <v>6.6000000000000005</v>
      </c>
      <c r="H33" s="16">
        <f>132*0.05</f>
        <v>6.6000000000000005</v>
      </c>
      <c r="I33" s="16">
        <v>1</v>
      </c>
    </row>
    <row r="34" spans="2:9" ht="15.75">
      <c r="B34" s="7" t="s">
        <v>33</v>
      </c>
      <c r="C34" s="22" t="s">
        <v>32</v>
      </c>
      <c r="D34" s="16">
        <f aca="true" t="shared" si="8" ref="D34:I34">SUM(D30:D33)</f>
        <v>29.17456</v>
      </c>
      <c r="E34" s="16">
        <f t="shared" si="8"/>
        <v>29.17456</v>
      </c>
      <c r="F34" s="37">
        <f t="shared" si="8"/>
        <v>6.60468</v>
      </c>
      <c r="G34" s="16">
        <f t="shared" si="8"/>
        <v>29.17456</v>
      </c>
      <c r="H34" s="16">
        <f t="shared" si="8"/>
        <v>29.17456</v>
      </c>
      <c r="I34" s="16">
        <f t="shared" si="8"/>
        <v>5.63468</v>
      </c>
    </row>
    <row r="35" spans="2:9" ht="15.75">
      <c r="B35" s="13" t="s">
        <v>56</v>
      </c>
      <c r="C35" s="17" t="s">
        <v>34</v>
      </c>
      <c r="D35" s="5">
        <f aca="true" t="shared" si="9" ref="D35:I35">SUM(D22+D34)</f>
        <v>460.05856</v>
      </c>
      <c r="E35" s="5">
        <f t="shared" si="9"/>
        <v>381.55856</v>
      </c>
      <c r="F35" s="36">
        <f t="shared" si="9"/>
        <v>1049.1408665284973</v>
      </c>
      <c r="G35" s="5">
        <f t="shared" si="9"/>
        <v>412.69807219512194</v>
      </c>
      <c r="H35" s="5">
        <f t="shared" si="9"/>
        <v>529.4259019823561</v>
      </c>
      <c r="I35" s="5">
        <f t="shared" si="9"/>
        <v>564.5921410778443</v>
      </c>
    </row>
    <row r="36" spans="2:9" ht="15.75">
      <c r="B36" s="7"/>
      <c r="C36" s="22"/>
      <c r="D36" s="1"/>
      <c r="E36" s="1"/>
      <c r="F36" s="31"/>
      <c r="G36" s="1"/>
      <c r="H36" s="1"/>
      <c r="I36" s="1"/>
    </row>
    <row r="37" spans="2:9" ht="15.75">
      <c r="B37" s="46" t="s">
        <v>57</v>
      </c>
      <c r="C37" s="22"/>
      <c r="D37" s="1"/>
      <c r="E37" s="1"/>
      <c r="F37" s="31"/>
      <c r="G37" s="1"/>
      <c r="H37" s="1"/>
      <c r="I37" s="1"/>
    </row>
    <row r="38" spans="2:9" ht="15.75">
      <c r="B38" s="7" t="s">
        <v>35</v>
      </c>
      <c r="C38" s="22" t="s">
        <v>36</v>
      </c>
      <c r="D38" s="1">
        <f>D6*8400/1000</f>
        <v>109200</v>
      </c>
      <c r="E38" s="1">
        <f>E6*8400/1000</f>
        <v>109200</v>
      </c>
      <c r="F38" s="31">
        <f>F6*(365-8)*24/1000</f>
        <v>111384</v>
      </c>
      <c r="G38" s="1">
        <f>G6*8400/1000</f>
        <v>109200</v>
      </c>
      <c r="H38" s="1">
        <f>H6*8400/1000</f>
        <v>109200</v>
      </c>
      <c r="I38" s="48">
        <f>I6*(365-8)*24/1000</f>
        <v>111384</v>
      </c>
    </row>
    <row r="39" spans="2:9" ht="15.75">
      <c r="B39" s="17" t="s">
        <v>37</v>
      </c>
      <c r="C39" s="17" t="s">
        <v>38</v>
      </c>
      <c r="D39" s="6">
        <f aca="true" t="shared" si="10" ref="D39:I39">(D35/D38)*100</f>
        <v>0.4212990476190477</v>
      </c>
      <c r="E39" s="6">
        <f t="shared" si="10"/>
        <v>0.3494126007326007</v>
      </c>
      <c r="F39" s="38">
        <f t="shared" si="10"/>
        <v>0.9419134404658633</v>
      </c>
      <c r="G39" s="6">
        <f t="shared" si="10"/>
        <v>0.37792863754132044</v>
      </c>
      <c r="H39" s="6">
        <f t="shared" si="10"/>
        <v>0.48482225456259714</v>
      </c>
      <c r="I39" s="6">
        <f t="shared" si="10"/>
        <v>0.506888010017457</v>
      </c>
    </row>
    <row r="40" spans="2:9" ht="31.5">
      <c r="B40" s="18" t="s">
        <v>39</v>
      </c>
      <c r="C40" s="22"/>
      <c r="D40" s="6">
        <f>F39-D39</f>
        <v>0.5206143928468157</v>
      </c>
      <c r="E40" s="6">
        <f>F39-E39</f>
        <v>0.5925008397332626</v>
      </c>
      <c r="F40" s="38">
        <f>F39</f>
        <v>0.9419134404658633</v>
      </c>
      <c r="G40" s="6">
        <f>F39-G39</f>
        <v>0.5639848029245429</v>
      </c>
      <c r="H40" s="6">
        <f>F39-H39</f>
        <v>0.4570911859032662</v>
      </c>
      <c r="I40" s="6">
        <f>F39-I39</f>
        <v>0.43502543044840636</v>
      </c>
    </row>
    <row r="41" spans="2:9" ht="15.75">
      <c r="B41" s="7"/>
      <c r="C41" s="22"/>
      <c r="D41" s="7"/>
      <c r="E41" s="7"/>
      <c r="F41" s="39"/>
      <c r="G41" s="7"/>
      <c r="H41" s="7"/>
      <c r="I41" s="7"/>
    </row>
    <row r="42" spans="2:9" s="9" customFormat="1" ht="15.75">
      <c r="B42" s="47" t="s">
        <v>40</v>
      </c>
      <c r="C42" s="17"/>
      <c r="D42" s="19">
        <f aca="true" t="shared" si="11" ref="D42:I42">D40*8400*D6</f>
        <v>56851091.69887227</v>
      </c>
      <c r="E42" s="19">
        <f t="shared" si="11"/>
        <v>64701091.698872276</v>
      </c>
      <c r="F42" s="40">
        <f t="shared" si="11"/>
        <v>102856947.69887227</v>
      </c>
      <c r="G42" s="19">
        <f t="shared" si="11"/>
        <v>61587140.47936008</v>
      </c>
      <c r="H42" s="19">
        <f t="shared" si="11"/>
        <v>49914357.50063667</v>
      </c>
      <c r="I42" s="19">
        <f t="shared" si="11"/>
        <v>47504777.00496597</v>
      </c>
    </row>
    <row r="43" spans="2:9" ht="15.75">
      <c r="B43" s="7"/>
      <c r="C43" s="22"/>
      <c r="D43" s="7"/>
      <c r="E43" s="7"/>
      <c r="F43" s="39"/>
      <c r="G43" s="7"/>
      <c r="H43" s="7"/>
      <c r="I43" s="7"/>
    </row>
    <row r="44" spans="2:9" ht="15.75">
      <c r="B44" s="7" t="s">
        <v>43</v>
      </c>
      <c r="C44" s="22" t="s">
        <v>44</v>
      </c>
      <c r="D44" s="20">
        <f aca="true" t="shared" si="12" ref="D44:I44">D16*10^5/(D38*1000)</f>
        <v>0.3364285714285714</v>
      </c>
      <c r="E44" s="20">
        <f t="shared" si="12"/>
        <v>0.26454212454212456</v>
      </c>
      <c r="F44" s="41">
        <f t="shared" si="12"/>
        <v>0.8932236106877983</v>
      </c>
      <c r="G44" s="20">
        <f t="shared" si="12"/>
        <v>0.2833658536585366</v>
      </c>
      <c r="H44" s="20">
        <f t="shared" si="12"/>
        <v>0.39025947067981326</v>
      </c>
      <c r="I44" s="20">
        <f t="shared" si="12"/>
        <v>0.46698759344056984</v>
      </c>
    </row>
    <row r="45" spans="2:9" ht="15.75">
      <c r="B45" s="7" t="s">
        <v>45</v>
      </c>
      <c r="C45" s="22" t="s">
        <v>44</v>
      </c>
      <c r="D45" s="2">
        <f aca="true" t="shared" si="13" ref="D45:I45">D39-D44</f>
        <v>0.08487047619047627</v>
      </c>
      <c r="E45" s="2">
        <f t="shared" si="13"/>
        <v>0.08487047619047616</v>
      </c>
      <c r="F45" s="33">
        <f t="shared" si="13"/>
        <v>0.04868982977806502</v>
      </c>
      <c r="G45" s="2">
        <f t="shared" si="13"/>
        <v>0.09456278388278383</v>
      </c>
      <c r="H45" s="2">
        <f t="shared" si="13"/>
        <v>0.09456278388278389</v>
      </c>
      <c r="I45" s="2">
        <f t="shared" si="13"/>
        <v>0.03990041657688714</v>
      </c>
    </row>
    <row r="46" spans="2:9" ht="15.75">
      <c r="B46" s="13" t="s">
        <v>46</v>
      </c>
      <c r="C46" s="17" t="s">
        <v>44</v>
      </c>
      <c r="D46" s="29">
        <f aca="true" t="shared" si="14" ref="D46:I46">SUM(D44:D45)</f>
        <v>0.4212990476190477</v>
      </c>
      <c r="E46" s="29">
        <f t="shared" si="14"/>
        <v>0.3494126007326007</v>
      </c>
      <c r="F46" s="42">
        <f t="shared" si="14"/>
        <v>0.9419134404658633</v>
      </c>
      <c r="G46" s="29">
        <f t="shared" si="14"/>
        <v>0.37792863754132044</v>
      </c>
      <c r="H46" s="29">
        <f t="shared" si="14"/>
        <v>0.48482225456259714</v>
      </c>
      <c r="I46" s="29">
        <f t="shared" si="14"/>
        <v>0.506888010017457</v>
      </c>
    </row>
    <row r="48" spans="4:9" ht="15.75">
      <c r="D48" s="49"/>
      <c r="E48" s="49"/>
      <c r="F48" s="49"/>
      <c r="G48" s="49"/>
      <c r="H48" s="49"/>
      <c r="I48" s="49"/>
    </row>
    <row r="49" spans="4:9" ht="15.75">
      <c r="D49" s="49"/>
      <c r="E49" s="49"/>
      <c r="F49" s="49"/>
      <c r="G49" s="49"/>
      <c r="H49" s="49" t="s">
        <v>67</v>
      </c>
      <c r="I49" s="49"/>
    </row>
  </sheetData>
  <mergeCells count="1">
    <mergeCell ref="B2:I2"/>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abColor indexed="47"/>
  </sheetPr>
  <dimension ref="B2:I146"/>
  <sheetViews>
    <sheetView tabSelected="1" zoomScale="75" zoomScaleNormal="75" workbookViewId="0" topLeftCell="A1">
      <pane xSplit="3" ySplit="6" topLeftCell="D36" activePane="bottomRight" state="frozen"/>
      <selection pane="topLeft" activeCell="A1" sqref="A1"/>
      <selection pane="topRight" activeCell="D1" sqref="D1"/>
      <selection pane="bottomLeft" activeCell="A7" sqref="A7"/>
      <selection pane="bottomRight" activeCell="C45" sqref="C45"/>
    </sheetView>
  </sheetViews>
  <sheetFormatPr defaultColWidth="9.140625" defaultRowHeight="12.75"/>
  <cols>
    <col min="1" max="1" width="4.7109375" style="51" customWidth="1"/>
    <col min="2" max="2" width="7.57421875" style="59" customWidth="1"/>
    <col min="3" max="3" width="38.140625" style="51" customWidth="1"/>
    <col min="4" max="4" width="12.140625" style="59" customWidth="1"/>
    <col min="5" max="5" width="11.8515625" style="51" customWidth="1"/>
    <col min="6" max="6" width="16.00390625" style="51" hidden="1" customWidth="1"/>
    <col min="7" max="7" width="11.421875" style="51" customWidth="1"/>
    <col min="8" max="8" width="12.57421875" style="51" customWidth="1"/>
    <col min="9" max="9" width="73.7109375" style="51" customWidth="1"/>
    <col min="10" max="16384" width="9.140625" style="51" customWidth="1"/>
  </cols>
  <sheetData>
    <row r="1" ht="12.75"/>
    <row r="2" spans="2:9" ht="35.25" customHeight="1">
      <c r="B2" s="101" t="s">
        <v>76</v>
      </c>
      <c r="C2" s="101"/>
      <c r="D2" s="101"/>
      <c r="E2" s="101"/>
      <c r="F2" s="101"/>
      <c r="G2" s="101"/>
      <c r="H2" s="101"/>
      <c r="I2" s="101"/>
    </row>
    <row r="3" spans="3:8" ht="15.75">
      <c r="C3" s="52"/>
      <c r="D3" s="62"/>
      <c r="E3" s="53"/>
      <c r="F3" s="54"/>
      <c r="H3" s="54"/>
    </row>
    <row r="4" spans="3:8" ht="15.75">
      <c r="C4" s="52"/>
      <c r="D4" s="62"/>
      <c r="E4" s="53"/>
      <c r="F4" s="54"/>
      <c r="H4" s="54"/>
    </row>
    <row r="5" spans="2:9" ht="15.75">
      <c r="B5" s="58" t="s">
        <v>79</v>
      </c>
      <c r="C5" s="57" t="s">
        <v>0</v>
      </c>
      <c r="D5" s="58" t="s">
        <v>96</v>
      </c>
      <c r="E5" s="102" t="s">
        <v>100</v>
      </c>
      <c r="F5" s="103"/>
      <c r="G5" s="103"/>
      <c r="H5" s="104"/>
      <c r="I5" s="58" t="s">
        <v>101</v>
      </c>
    </row>
    <row r="6" spans="2:9" ht="47.25">
      <c r="B6" s="58"/>
      <c r="C6" s="57"/>
      <c r="D6" s="58"/>
      <c r="E6" s="58" t="s">
        <v>97</v>
      </c>
      <c r="F6" s="58"/>
      <c r="G6" s="58" t="s">
        <v>98</v>
      </c>
      <c r="H6" s="58" t="s">
        <v>99</v>
      </c>
      <c r="I6" s="58"/>
    </row>
    <row r="7" spans="2:9" ht="15.75">
      <c r="B7" s="60" t="s">
        <v>105</v>
      </c>
      <c r="C7" s="55" t="s">
        <v>53</v>
      </c>
      <c r="D7" s="60"/>
      <c r="E7" s="60"/>
      <c r="F7" s="60"/>
      <c r="G7" s="60"/>
      <c r="H7" s="60"/>
      <c r="I7" s="61"/>
    </row>
    <row r="8" spans="2:9" ht="90">
      <c r="B8" s="89">
        <v>1</v>
      </c>
      <c r="C8" s="64" t="s">
        <v>80</v>
      </c>
      <c r="D8" s="64" t="s">
        <v>2</v>
      </c>
      <c r="E8" s="65">
        <v>13000</v>
      </c>
      <c r="F8" s="64">
        <v>13000</v>
      </c>
      <c r="G8" s="64">
        <v>13000</v>
      </c>
      <c r="H8" s="64">
        <v>13000</v>
      </c>
      <c r="I8" s="64" t="s">
        <v>103</v>
      </c>
    </row>
    <row r="9" spans="2:9" ht="15">
      <c r="B9" s="89">
        <v>2</v>
      </c>
      <c r="C9" s="64" t="s">
        <v>3</v>
      </c>
      <c r="D9" s="64" t="s">
        <v>4</v>
      </c>
      <c r="E9" s="65">
        <v>664.5</v>
      </c>
      <c r="F9" s="64">
        <v>664.5</v>
      </c>
      <c r="G9" s="64">
        <v>664.5</v>
      </c>
      <c r="H9" s="64">
        <v>664.5</v>
      </c>
      <c r="I9" s="105" t="s">
        <v>104</v>
      </c>
    </row>
    <row r="10" spans="2:9" ht="15">
      <c r="B10" s="89">
        <v>3</v>
      </c>
      <c r="C10" s="64" t="s">
        <v>5</v>
      </c>
      <c r="D10" s="64" t="s">
        <v>4</v>
      </c>
      <c r="E10" s="65">
        <v>70</v>
      </c>
      <c r="F10" s="64">
        <v>70</v>
      </c>
      <c r="G10" s="64">
        <v>70</v>
      </c>
      <c r="H10" s="64">
        <v>70</v>
      </c>
      <c r="I10" s="106"/>
    </row>
    <row r="11" spans="2:9" ht="15">
      <c r="B11" s="89">
        <v>4</v>
      </c>
      <c r="C11" s="64" t="s">
        <v>6</v>
      </c>
      <c r="D11" s="64" t="s">
        <v>7</v>
      </c>
      <c r="E11" s="65">
        <f>(E9-E10)*E8</f>
        <v>7728500</v>
      </c>
      <c r="F11" s="64">
        <f>(F9-F10)*F8</f>
        <v>7728500</v>
      </c>
      <c r="G11" s="64">
        <f>(G9-G10)*G8</f>
        <v>7728500</v>
      </c>
      <c r="H11" s="64">
        <f>(H9-H10)*H8</f>
        <v>7728500</v>
      </c>
      <c r="I11" s="64" t="s">
        <v>74</v>
      </c>
    </row>
    <row r="12" spans="2:9" ht="90">
      <c r="B12" s="89">
        <v>5</v>
      </c>
      <c r="C12" s="64" t="s">
        <v>81</v>
      </c>
      <c r="D12" s="64" t="s">
        <v>9</v>
      </c>
      <c r="E12" s="65">
        <v>0.88</v>
      </c>
      <c r="F12" s="64">
        <v>0.9</v>
      </c>
      <c r="G12" s="64">
        <v>0.8</v>
      </c>
      <c r="H12" s="64">
        <f>80/100</f>
        <v>0.8</v>
      </c>
      <c r="I12" s="64" t="s">
        <v>103</v>
      </c>
    </row>
    <row r="13" spans="2:9" ht="36.75" customHeight="1">
      <c r="B13" s="89">
        <v>6</v>
      </c>
      <c r="C13" s="64" t="s">
        <v>10</v>
      </c>
      <c r="D13" s="64" t="s">
        <v>7</v>
      </c>
      <c r="E13" s="71">
        <f>E11/E12</f>
        <v>8782386.363636363</v>
      </c>
      <c r="F13" s="72">
        <f>F11/F12</f>
        <v>8587222.222222222</v>
      </c>
      <c r="G13" s="72">
        <f>G11/G12</f>
        <v>9660625</v>
      </c>
      <c r="H13" s="72">
        <f>H11/H12</f>
        <v>9660625</v>
      </c>
      <c r="I13" s="64" t="s">
        <v>77</v>
      </c>
    </row>
    <row r="14" spans="2:9" ht="45">
      <c r="B14" s="89">
        <v>7</v>
      </c>
      <c r="C14" s="64" t="s">
        <v>82</v>
      </c>
      <c r="D14" s="64" t="s">
        <v>4</v>
      </c>
      <c r="E14" s="65">
        <v>9900</v>
      </c>
      <c r="F14" s="64">
        <v>9500</v>
      </c>
      <c r="G14" s="73">
        <v>4498</v>
      </c>
      <c r="H14" s="73">
        <v>4202.16</v>
      </c>
      <c r="I14" s="65" t="s">
        <v>114</v>
      </c>
    </row>
    <row r="15" spans="2:9" ht="45">
      <c r="B15" s="89">
        <v>8</v>
      </c>
      <c r="C15" s="64" t="s">
        <v>84</v>
      </c>
      <c r="D15" s="64" t="s">
        <v>61</v>
      </c>
      <c r="E15" s="74">
        <f>E13/E14/1000</f>
        <v>0.8871097337006428</v>
      </c>
      <c r="F15" s="75">
        <f>F13/F14</f>
        <v>903.9181286549707</v>
      </c>
      <c r="G15" s="75">
        <f>G13/G14/1000</f>
        <v>2.1477601156069364</v>
      </c>
      <c r="H15" s="75">
        <f>H13/H14/1000</f>
        <v>2.2989664839035164</v>
      </c>
      <c r="I15" s="64" t="s">
        <v>78</v>
      </c>
    </row>
    <row r="16" spans="2:9" ht="63.75" customHeight="1">
      <c r="B16" s="89">
        <v>9</v>
      </c>
      <c r="C16" s="64" t="s">
        <v>83</v>
      </c>
      <c r="D16" s="64" t="s">
        <v>60</v>
      </c>
      <c r="E16" s="73">
        <f>E15*8400</f>
        <v>7451.7217630854</v>
      </c>
      <c r="F16" s="76">
        <f>F15*8520</f>
        <v>7701382.456140351</v>
      </c>
      <c r="G16" s="76">
        <f>G15*8280</f>
        <v>17783.453757225434</v>
      </c>
      <c r="H16" s="76">
        <f>H15*8280</f>
        <v>19035.442486721116</v>
      </c>
      <c r="I16" s="64" t="s">
        <v>102</v>
      </c>
    </row>
    <row r="17" spans="2:9" ht="75">
      <c r="B17" s="89">
        <v>10</v>
      </c>
      <c r="C17" s="64" t="s">
        <v>85</v>
      </c>
      <c r="D17" s="64" t="s">
        <v>59</v>
      </c>
      <c r="E17" s="65">
        <v>9810</v>
      </c>
      <c r="F17" s="65">
        <v>5.7</v>
      </c>
      <c r="G17" s="64">
        <v>1400</v>
      </c>
      <c r="H17" s="64">
        <v>1800</v>
      </c>
      <c r="I17" s="65" t="s">
        <v>115</v>
      </c>
    </row>
    <row r="18" spans="2:9" ht="30">
      <c r="B18" s="91">
        <v>11</v>
      </c>
      <c r="C18" s="77" t="s">
        <v>86</v>
      </c>
      <c r="D18" s="64" t="s">
        <v>13</v>
      </c>
      <c r="E18" s="78">
        <f>E16*E17/100000</f>
        <v>731.0139049586777</v>
      </c>
      <c r="F18" s="79">
        <f>F16*F17/100000</f>
        <v>438.9788</v>
      </c>
      <c r="G18" s="79">
        <f>G16*G17/100000</f>
        <v>248.96835260115608</v>
      </c>
      <c r="H18" s="79">
        <f>H16*H17/100000</f>
        <v>342.6379647609801</v>
      </c>
      <c r="I18" s="64" t="s">
        <v>74</v>
      </c>
    </row>
    <row r="19" spans="2:9" ht="15.75">
      <c r="B19" s="87" t="s">
        <v>106</v>
      </c>
      <c r="C19" s="80" t="s">
        <v>88</v>
      </c>
      <c r="D19" s="66"/>
      <c r="E19" s="66"/>
      <c r="F19" s="66"/>
      <c r="G19" s="66"/>
      <c r="H19" s="66"/>
      <c r="I19" s="66"/>
    </row>
    <row r="20" spans="2:9" ht="90">
      <c r="B20" s="89">
        <v>12</v>
      </c>
      <c r="C20" s="64" t="s">
        <v>87</v>
      </c>
      <c r="D20" s="64" t="s">
        <v>15</v>
      </c>
      <c r="E20" s="65">
        <v>115</v>
      </c>
      <c r="F20" s="65">
        <v>52.5</v>
      </c>
      <c r="G20" s="65">
        <v>210</v>
      </c>
      <c r="H20" s="65">
        <v>180</v>
      </c>
      <c r="I20" s="64" t="s">
        <v>103</v>
      </c>
    </row>
    <row r="21" spans="2:9" ht="71.25" customHeight="1">
      <c r="B21" s="89">
        <v>13</v>
      </c>
      <c r="C21" s="64" t="s">
        <v>90</v>
      </c>
      <c r="D21" s="64" t="s">
        <v>17</v>
      </c>
      <c r="E21" s="65">
        <v>4.32</v>
      </c>
      <c r="F21" s="65">
        <v>4.32</v>
      </c>
      <c r="G21" s="65">
        <v>4.32</v>
      </c>
      <c r="H21" s="65">
        <v>4.32</v>
      </c>
      <c r="I21" s="64" t="s">
        <v>116</v>
      </c>
    </row>
    <row r="22" spans="2:9" ht="30">
      <c r="B22" s="91">
        <v>14</v>
      </c>
      <c r="C22" s="77" t="s">
        <v>89</v>
      </c>
      <c r="D22" s="64" t="s">
        <v>13</v>
      </c>
      <c r="E22" s="78">
        <f>E20*E21*8400/100000</f>
        <v>41.7312</v>
      </c>
      <c r="F22" s="79">
        <f>F20*F21*8520/100000</f>
        <v>19.32336</v>
      </c>
      <c r="G22" s="79">
        <f>G20*G21*8280/100000</f>
        <v>75.11616</v>
      </c>
      <c r="H22" s="79">
        <f>H20*H21*8280/100000</f>
        <v>64.38528</v>
      </c>
      <c r="I22" s="64" t="s">
        <v>74</v>
      </c>
    </row>
    <row r="23" spans="2:9" ht="15.75">
      <c r="B23" s="92" t="s">
        <v>107</v>
      </c>
      <c r="C23" s="81" t="s">
        <v>112</v>
      </c>
      <c r="D23" s="67"/>
      <c r="E23" s="82"/>
      <c r="F23" s="82"/>
      <c r="G23" s="82"/>
      <c r="H23" s="82"/>
      <c r="I23" s="67"/>
    </row>
    <row r="24" spans="2:9" ht="31.5">
      <c r="B24" s="89">
        <v>15</v>
      </c>
      <c r="C24" s="77" t="s">
        <v>91</v>
      </c>
      <c r="D24" s="64" t="s">
        <v>13</v>
      </c>
      <c r="E24" s="78">
        <v>6.83</v>
      </c>
      <c r="F24" s="79">
        <v>6.83</v>
      </c>
      <c r="G24" s="79">
        <v>6.83</v>
      </c>
      <c r="H24" s="79">
        <v>6.83</v>
      </c>
      <c r="I24" s="65" t="s">
        <v>117</v>
      </c>
    </row>
    <row r="25" spans="2:9" ht="15.75">
      <c r="B25" s="89">
        <v>16</v>
      </c>
      <c r="C25" s="77" t="s">
        <v>111</v>
      </c>
      <c r="D25" s="64"/>
      <c r="E25" s="79">
        <f>SUM(E18+E22+E24)</f>
        <v>779.5751049586778</v>
      </c>
      <c r="F25" s="79">
        <f>SUM(F18+F22+F24)</f>
        <v>465.13215999999994</v>
      </c>
      <c r="G25" s="79">
        <f>SUM(G18+G22+G24)</f>
        <v>330.91451260115605</v>
      </c>
      <c r="H25" s="79">
        <f>SUM(H18+H22+H24)</f>
        <v>413.8532447609801</v>
      </c>
      <c r="I25" s="64" t="s">
        <v>75</v>
      </c>
    </row>
    <row r="26" spans="2:9" ht="15.75">
      <c r="B26" s="93" t="s">
        <v>108</v>
      </c>
      <c r="C26" s="83" t="s">
        <v>51</v>
      </c>
      <c r="D26" s="68"/>
      <c r="E26" s="68"/>
      <c r="F26" s="68"/>
      <c r="G26" s="68"/>
      <c r="H26" s="68"/>
      <c r="I26" s="68"/>
    </row>
    <row r="27" spans="2:9" ht="51.75" customHeight="1">
      <c r="B27" s="89">
        <v>17</v>
      </c>
      <c r="C27" s="64" t="s">
        <v>20</v>
      </c>
      <c r="D27" s="64" t="s">
        <v>21</v>
      </c>
      <c r="E27" s="65">
        <v>4</v>
      </c>
      <c r="F27" s="64">
        <v>4</v>
      </c>
      <c r="G27" s="64">
        <v>8</v>
      </c>
      <c r="H27" s="64">
        <v>8</v>
      </c>
      <c r="I27" s="99" t="s">
        <v>103</v>
      </c>
    </row>
    <row r="28" spans="2:9" ht="42" customHeight="1">
      <c r="B28" s="89">
        <v>18</v>
      </c>
      <c r="C28" s="64" t="s">
        <v>22</v>
      </c>
      <c r="D28" s="64" t="s">
        <v>23</v>
      </c>
      <c r="E28" s="65">
        <v>4</v>
      </c>
      <c r="F28" s="65">
        <v>4</v>
      </c>
      <c r="G28" s="64">
        <v>6</v>
      </c>
      <c r="H28" s="64">
        <v>6</v>
      </c>
      <c r="I28" s="100"/>
    </row>
    <row r="29" spans="2:9" ht="33.75" customHeight="1">
      <c r="B29" s="89">
        <v>19</v>
      </c>
      <c r="C29" s="64" t="s">
        <v>24</v>
      </c>
      <c r="D29" s="64" t="s">
        <v>25</v>
      </c>
      <c r="E29" s="64">
        <v>9000</v>
      </c>
      <c r="F29" s="64">
        <v>9000</v>
      </c>
      <c r="G29" s="64">
        <v>9900</v>
      </c>
      <c r="H29" s="64">
        <v>9900</v>
      </c>
      <c r="I29" s="99" t="s">
        <v>118</v>
      </c>
    </row>
    <row r="30" spans="2:9" ht="15">
      <c r="B30" s="89">
        <v>20</v>
      </c>
      <c r="C30" s="64" t="s">
        <v>26</v>
      </c>
      <c r="D30" s="64" t="s">
        <v>25</v>
      </c>
      <c r="E30" s="65">
        <v>2400</v>
      </c>
      <c r="F30" s="64">
        <v>2400</v>
      </c>
      <c r="G30" s="64">
        <v>2250</v>
      </c>
      <c r="H30" s="64">
        <v>2250</v>
      </c>
      <c r="I30" s="107"/>
    </row>
    <row r="31" spans="2:9" ht="30">
      <c r="B31" s="89">
        <v>21</v>
      </c>
      <c r="C31" s="64" t="s">
        <v>29</v>
      </c>
      <c r="D31" s="64" t="s">
        <v>30</v>
      </c>
      <c r="E31" s="78">
        <v>0</v>
      </c>
      <c r="F31" s="79">
        <v>0</v>
      </c>
      <c r="G31" s="79">
        <v>8</v>
      </c>
      <c r="H31" s="79">
        <v>8</v>
      </c>
      <c r="I31" s="100"/>
    </row>
    <row r="32" spans="2:9" ht="30">
      <c r="B32" s="91">
        <v>22</v>
      </c>
      <c r="C32" s="77" t="s">
        <v>27</v>
      </c>
      <c r="D32" s="64" t="s">
        <v>13</v>
      </c>
      <c r="E32" s="65">
        <f>((E27*E29)+(E28*E30))*12/100000</f>
        <v>5.472</v>
      </c>
      <c r="F32" s="64">
        <f>((F27*F29)+(F28*F30))*12/100000</f>
        <v>5.472</v>
      </c>
      <c r="G32" s="64">
        <f>(((G27*G29)+(G28*G30))*12/100000)+G31</f>
        <v>19.124000000000002</v>
      </c>
      <c r="H32" s="64">
        <f>(((H27*H29)+(H28*H30))*12/100000)+H31</f>
        <v>19.124000000000002</v>
      </c>
      <c r="I32" s="65" t="s">
        <v>75</v>
      </c>
    </row>
    <row r="33" spans="2:9" ht="30">
      <c r="B33" s="89">
        <v>23</v>
      </c>
      <c r="C33" s="64" t="s">
        <v>28</v>
      </c>
      <c r="D33" s="64" t="s">
        <v>13</v>
      </c>
      <c r="E33" s="65">
        <v>0.25</v>
      </c>
      <c r="F33" s="64">
        <v>0.2</v>
      </c>
      <c r="G33" s="64">
        <v>0.3</v>
      </c>
      <c r="H33" s="64">
        <v>0.3</v>
      </c>
      <c r="I33" s="99" t="s">
        <v>103</v>
      </c>
    </row>
    <row r="34" spans="2:9" ht="67.5" customHeight="1">
      <c r="B34" s="89">
        <v>24</v>
      </c>
      <c r="C34" s="64" t="s">
        <v>92</v>
      </c>
      <c r="D34" s="64" t="s">
        <v>32</v>
      </c>
      <c r="E34" s="78">
        <v>1.16</v>
      </c>
      <c r="F34" s="79">
        <v>0.7</v>
      </c>
      <c r="G34" s="79">
        <v>7</v>
      </c>
      <c r="H34" s="79">
        <v>7</v>
      </c>
      <c r="I34" s="100"/>
    </row>
    <row r="35" spans="2:9" ht="15.75">
      <c r="B35" s="94" t="s">
        <v>109</v>
      </c>
      <c r="C35" s="95" t="s">
        <v>113</v>
      </c>
      <c r="D35" s="96"/>
      <c r="E35" s="97"/>
      <c r="F35" s="97"/>
      <c r="G35" s="97"/>
      <c r="H35" s="97"/>
      <c r="I35" s="96"/>
    </row>
    <row r="36" spans="2:9" ht="90">
      <c r="B36" s="89">
        <v>25</v>
      </c>
      <c r="C36" s="64" t="s">
        <v>69</v>
      </c>
      <c r="D36" s="64" t="s">
        <v>70</v>
      </c>
      <c r="E36" s="78">
        <v>120</v>
      </c>
      <c r="F36" s="79">
        <v>120</v>
      </c>
      <c r="G36" s="79">
        <v>210</v>
      </c>
      <c r="H36" s="79">
        <v>200</v>
      </c>
      <c r="I36" s="64" t="s">
        <v>103</v>
      </c>
    </row>
    <row r="37" spans="2:9" ht="30">
      <c r="B37" s="89">
        <v>26</v>
      </c>
      <c r="C37" s="64" t="s">
        <v>71</v>
      </c>
      <c r="D37" s="70" t="s">
        <v>9</v>
      </c>
      <c r="E37" s="84">
        <v>0.1</v>
      </c>
      <c r="F37" s="84">
        <v>0.1</v>
      </c>
      <c r="G37" s="84">
        <v>0.1</v>
      </c>
      <c r="H37" s="84">
        <v>0.1</v>
      </c>
      <c r="I37" s="65" t="s">
        <v>119</v>
      </c>
    </row>
    <row r="38" spans="2:9" ht="15">
      <c r="B38" s="89">
        <v>27</v>
      </c>
      <c r="C38" s="64" t="s">
        <v>95</v>
      </c>
      <c r="D38" s="64" t="s">
        <v>70</v>
      </c>
      <c r="E38" s="79">
        <f>E36*E37</f>
        <v>12</v>
      </c>
      <c r="F38" s="79">
        <f>F36*F37</f>
        <v>12</v>
      </c>
      <c r="G38" s="79">
        <f>G36*G37</f>
        <v>21</v>
      </c>
      <c r="H38" s="79">
        <f>H36*H37</f>
        <v>20</v>
      </c>
      <c r="I38" s="64" t="s">
        <v>75</v>
      </c>
    </row>
    <row r="39" spans="2:9" ht="30">
      <c r="B39" s="91">
        <v>28</v>
      </c>
      <c r="C39" s="77" t="s">
        <v>33</v>
      </c>
      <c r="D39" s="64" t="s">
        <v>32</v>
      </c>
      <c r="E39" s="79">
        <f>E32+E33+E34+E38</f>
        <v>18.882</v>
      </c>
      <c r="F39" s="79">
        <f>F32+F33+F34+F38</f>
        <v>18.372</v>
      </c>
      <c r="G39" s="79">
        <f>G32+G33+G34+G38</f>
        <v>47.42400000000001</v>
      </c>
      <c r="H39" s="79">
        <f>H32+H33+H34+H38</f>
        <v>46.42400000000001</v>
      </c>
      <c r="I39" s="64" t="s">
        <v>75</v>
      </c>
    </row>
    <row r="40" spans="2:9" ht="30">
      <c r="B40" s="91">
        <v>29</v>
      </c>
      <c r="C40" s="77" t="s">
        <v>73</v>
      </c>
      <c r="D40" s="64" t="s">
        <v>34</v>
      </c>
      <c r="E40" s="78">
        <f>SUM(E25+E39)</f>
        <v>798.4571049586777</v>
      </c>
      <c r="F40" s="79">
        <f>SUM(F25+F39)</f>
        <v>483.50415999999996</v>
      </c>
      <c r="G40" s="79">
        <f>SUM(G25+G39)</f>
        <v>378.338512601156</v>
      </c>
      <c r="H40" s="79">
        <f>SUM(H25+H39)</f>
        <v>460.2772447609801</v>
      </c>
      <c r="I40" s="64" t="s">
        <v>75</v>
      </c>
    </row>
    <row r="41" spans="2:9" ht="15.75">
      <c r="B41" s="88" t="s">
        <v>110</v>
      </c>
      <c r="C41" s="85" t="s">
        <v>72</v>
      </c>
      <c r="D41" s="69"/>
      <c r="E41" s="69"/>
      <c r="F41" s="69"/>
      <c r="G41" s="69"/>
      <c r="H41" s="69"/>
      <c r="I41" s="69"/>
    </row>
    <row r="42" spans="2:9" ht="30">
      <c r="B42" s="89">
        <v>30</v>
      </c>
      <c r="C42" s="64" t="s">
        <v>93</v>
      </c>
      <c r="D42" s="64" t="s">
        <v>68</v>
      </c>
      <c r="E42" s="65">
        <f>E8*8400/1000</f>
        <v>109200</v>
      </c>
      <c r="F42" s="86">
        <f>F8*8520/1000</f>
        <v>110760</v>
      </c>
      <c r="G42" s="64">
        <f>G8*8280/1000</f>
        <v>107640</v>
      </c>
      <c r="H42" s="64">
        <f>H8*8280/1000</f>
        <v>107640</v>
      </c>
      <c r="I42" s="64" t="s">
        <v>75</v>
      </c>
    </row>
    <row r="43" spans="2:9" ht="41.25" customHeight="1">
      <c r="B43" s="91">
        <v>31</v>
      </c>
      <c r="C43" s="77" t="s">
        <v>94</v>
      </c>
      <c r="D43" s="64" t="s">
        <v>38</v>
      </c>
      <c r="E43" s="74">
        <f>(E40/E42)*100</f>
        <v>0.7311878250537341</v>
      </c>
      <c r="F43" s="75">
        <f>(F40/F42)*100</f>
        <v>0.43653318887685083</v>
      </c>
      <c r="G43" s="75">
        <f>(G40/G42)*100</f>
        <v>0.35148505444180234</v>
      </c>
      <c r="H43" s="75">
        <f>(H40/H42)*100</f>
        <v>0.4276079940180046</v>
      </c>
      <c r="I43" s="64" t="s">
        <v>75</v>
      </c>
    </row>
    <row r="44" spans="8:9" ht="12.75">
      <c r="H44" s="56"/>
      <c r="I44" s="70"/>
    </row>
    <row r="45" ht="12.75">
      <c r="I45" s="70"/>
    </row>
    <row r="46" ht="12.75">
      <c r="I46" s="63"/>
    </row>
    <row r="47" spans="2:9" ht="15">
      <c r="B47" s="90"/>
      <c r="I47" s="63"/>
    </row>
    <row r="48" spans="2:9" ht="15">
      <c r="B48" s="90"/>
      <c r="I48" s="63"/>
    </row>
    <row r="49" spans="2:9" ht="15">
      <c r="B49" s="90"/>
      <c r="I49" s="63"/>
    </row>
    <row r="50" spans="2:9" ht="15">
      <c r="B50" s="90"/>
      <c r="I50" s="63"/>
    </row>
    <row r="51" spans="2:9" ht="15">
      <c r="B51" s="90"/>
      <c r="I51" s="63"/>
    </row>
    <row r="52" spans="2:9" ht="15">
      <c r="B52" s="90"/>
      <c r="I52" s="63"/>
    </row>
    <row r="53" spans="2:9" ht="15">
      <c r="B53" s="90"/>
      <c r="I53" s="63"/>
    </row>
    <row r="54" spans="2:9" ht="15">
      <c r="B54" s="90"/>
      <c r="I54" s="63"/>
    </row>
    <row r="55" spans="2:9" ht="15">
      <c r="B55" s="90"/>
      <c r="I55" s="63"/>
    </row>
    <row r="56" spans="2:9" ht="15">
      <c r="B56" s="90"/>
      <c r="I56" s="63"/>
    </row>
    <row r="57" spans="2:9" ht="15">
      <c r="B57" s="90"/>
      <c r="I57" s="63"/>
    </row>
    <row r="58" spans="2:9" ht="15">
      <c r="B58" s="90"/>
      <c r="I58" s="63"/>
    </row>
    <row r="59" spans="2:9" ht="15">
      <c r="B59" s="90"/>
      <c r="I59" s="63"/>
    </row>
    <row r="60" spans="2:9" ht="15">
      <c r="B60" s="90"/>
      <c r="I60" s="63"/>
    </row>
    <row r="61" ht="12.75">
      <c r="I61" s="63"/>
    </row>
    <row r="62" ht="12.75">
      <c r="I62" s="63"/>
    </row>
    <row r="63" ht="12.75">
      <c r="I63" s="63"/>
    </row>
    <row r="64" ht="12.75">
      <c r="I64" s="63"/>
    </row>
    <row r="65" ht="12.75">
      <c r="I65" s="63"/>
    </row>
    <row r="66" ht="12.75">
      <c r="I66" s="63"/>
    </row>
    <row r="67" ht="12.75">
      <c r="I67" s="63"/>
    </row>
    <row r="68" ht="12.75">
      <c r="I68" s="63"/>
    </row>
    <row r="69" ht="12.75">
      <c r="I69" s="63"/>
    </row>
    <row r="70" ht="12.75">
      <c r="I70" s="63"/>
    </row>
    <row r="71" ht="12.75">
      <c r="I71" s="63"/>
    </row>
    <row r="72" ht="12.75">
      <c r="I72" s="63"/>
    </row>
    <row r="73" ht="12.75">
      <c r="I73" s="63"/>
    </row>
    <row r="74" ht="12.75">
      <c r="I74" s="63"/>
    </row>
    <row r="75" ht="12.75">
      <c r="I75" s="63"/>
    </row>
    <row r="76" ht="12.75">
      <c r="I76" s="63"/>
    </row>
    <row r="77" ht="12.75">
      <c r="I77" s="63"/>
    </row>
    <row r="78" ht="12.75">
      <c r="I78" s="63"/>
    </row>
    <row r="79" ht="12.75">
      <c r="I79" s="63"/>
    </row>
    <row r="80" ht="12.75">
      <c r="I80" s="63"/>
    </row>
    <row r="81" ht="12.75">
      <c r="I81" s="63"/>
    </row>
    <row r="82" ht="12.75">
      <c r="I82" s="63"/>
    </row>
    <row r="83" ht="12.75">
      <c r="I83" s="63"/>
    </row>
    <row r="84" ht="12.75">
      <c r="I84" s="63"/>
    </row>
    <row r="85" ht="12.75">
      <c r="I85" s="63"/>
    </row>
    <row r="86" ht="12.75">
      <c r="I86" s="63"/>
    </row>
    <row r="87" ht="12.75">
      <c r="I87" s="63"/>
    </row>
    <row r="88" ht="12.75">
      <c r="I88" s="63"/>
    </row>
    <row r="89" ht="12.75">
      <c r="I89" s="63"/>
    </row>
    <row r="90" ht="12.75">
      <c r="I90" s="63"/>
    </row>
    <row r="91" ht="12.75">
      <c r="I91" s="63"/>
    </row>
    <row r="92" ht="12.75">
      <c r="I92" s="63"/>
    </row>
    <row r="93" ht="12.75">
      <c r="I93" s="63"/>
    </row>
    <row r="94" ht="12.75">
      <c r="I94" s="63"/>
    </row>
    <row r="95" ht="12.75">
      <c r="I95" s="63"/>
    </row>
    <row r="96" ht="12.75">
      <c r="I96" s="63"/>
    </row>
    <row r="97" ht="12.75">
      <c r="I97" s="63"/>
    </row>
    <row r="98" ht="12.75">
      <c r="I98" s="63"/>
    </row>
    <row r="99" ht="12.75">
      <c r="I99" s="63"/>
    </row>
    <row r="100" ht="12.75">
      <c r="I100" s="63"/>
    </row>
    <row r="101" ht="12.75">
      <c r="I101" s="63"/>
    </row>
    <row r="102" ht="12.75">
      <c r="I102" s="63"/>
    </row>
    <row r="103" ht="12.75">
      <c r="I103" s="63"/>
    </row>
    <row r="104" ht="12.75">
      <c r="I104" s="63"/>
    </row>
    <row r="105" ht="12.75">
      <c r="I105" s="63"/>
    </row>
    <row r="106" ht="12.75">
      <c r="I106" s="63"/>
    </row>
    <row r="107" ht="12.75">
      <c r="I107" s="63"/>
    </row>
    <row r="108" ht="12.75">
      <c r="I108" s="63"/>
    </row>
    <row r="109" ht="12.75">
      <c r="I109" s="63"/>
    </row>
    <row r="110" ht="12.75">
      <c r="I110" s="63"/>
    </row>
    <row r="111" ht="12.75">
      <c r="I111" s="63"/>
    </row>
    <row r="112" ht="12.75">
      <c r="I112" s="63"/>
    </row>
    <row r="113" ht="12.75">
      <c r="I113" s="63"/>
    </row>
    <row r="114" ht="12.75">
      <c r="I114" s="63"/>
    </row>
    <row r="115" ht="12.75">
      <c r="I115" s="63"/>
    </row>
    <row r="116" ht="12.75">
      <c r="I116" s="63"/>
    </row>
    <row r="117" ht="12.75">
      <c r="I117" s="63"/>
    </row>
    <row r="118" ht="12.75">
      <c r="I118" s="63"/>
    </row>
    <row r="119" ht="12.75">
      <c r="I119" s="63"/>
    </row>
    <row r="120" ht="12.75">
      <c r="I120" s="63"/>
    </row>
    <row r="121" ht="12.75">
      <c r="I121" s="63"/>
    </row>
    <row r="122" ht="12.75">
      <c r="I122" s="63"/>
    </row>
    <row r="123" ht="12.75">
      <c r="I123" s="63"/>
    </row>
    <row r="124" ht="12.75">
      <c r="I124" s="63"/>
    </row>
    <row r="125" ht="12.75">
      <c r="I125" s="63"/>
    </row>
    <row r="126" ht="12.75">
      <c r="I126" s="63"/>
    </row>
    <row r="127" ht="12.75">
      <c r="I127" s="63"/>
    </row>
    <row r="128" ht="12.75">
      <c r="I128" s="63"/>
    </row>
    <row r="129" ht="12.75">
      <c r="I129" s="63"/>
    </row>
    <row r="130" ht="12.75">
      <c r="I130" s="63"/>
    </row>
    <row r="131" ht="12.75">
      <c r="I131" s="63"/>
    </row>
    <row r="132" ht="12.75">
      <c r="I132" s="63"/>
    </row>
    <row r="133" ht="12.75">
      <c r="I133" s="63"/>
    </row>
    <row r="134" ht="12.75">
      <c r="I134" s="63"/>
    </row>
    <row r="135" ht="12.75">
      <c r="I135" s="63"/>
    </row>
    <row r="136" ht="12.75">
      <c r="I136" s="63"/>
    </row>
    <row r="137" ht="12.75">
      <c r="I137" s="63"/>
    </row>
    <row r="138" ht="12.75">
      <c r="I138" s="63"/>
    </row>
    <row r="139" ht="12.75">
      <c r="I139" s="63"/>
    </row>
    <row r="140" ht="12.75">
      <c r="I140" s="63"/>
    </row>
    <row r="141" ht="12.75">
      <c r="I141" s="63"/>
    </row>
    <row r="142" ht="12.75">
      <c r="I142" s="63"/>
    </row>
    <row r="143" ht="12.75">
      <c r="I143" s="63"/>
    </row>
    <row r="144" ht="12.75">
      <c r="I144" s="63"/>
    </row>
    <row r="145" ht="12.75">
      <c r="I145" s="63"/>
    </row>
    <row r="146" ht="12.75">
      <c r="I146" s="63"/>
    </row>
  </sheetData>
  <mergeCells count="6">
    <mergeCell ref="I29:I31"/>
    <mergeCell ref="I33:I34"/>
    <mergeCell ref="I27:I28"/>
    <mergeCell ref="B2:I2"/>
    <mergeCell ref="E5:H5"/>
    <mergeCell ref="I9:I10"/>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aml</dc:creator>
  <cp:keywords/>
  <dc:description/>
  <cp:lastModifiedBy>Siddharth_Yadav</cp:lastModifiedBy>
  <cp:lastPrinted>2007-08-17T05:55:48Z</cp:lastPrinted>
  <dcterms:created xsi:type="dcterms:W3CDTF">2006-03-28T11:17:05Z</dcterms:created>
  <dcterms:modified xsi:type="dcterms:W3CDTF">2007-08-28T15:05:25Z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