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5330" windowHeight="4470" tabRatio="599" activeTab="0"/>
  </bookViews>
  <sheets>
    <sheet name="0 Major parameters" sheetId="1" r:id="rId1"/>
    <sheet name="1 fund usage plan" sheetId="2" r:id="rId2"/>
    <sheet name="2 Sale revenue and VAT" sheetId="3" r:id="rId3"/>
    <sheet name="3 Raw material" sheetId="4" r:id="rId4"/>
    <sheet name="4 Total expense cost" sheetId="5" r:id="rId5"/>
    <sheet name="5 Profit and loss" sheetId="6" r:id="rId6"/>
    <sheet name="6 Depreciation of fixed assets" sheetId="7" r:id="rId7"/>
    <sheet name="7Intangible &amp; deferred amortize" sheetId="8" r:id="rId8"/>
    <sheet name="8 interest" sheetId="9" r:id="rId9"/>
    <sheet name="9 cash flow(total investment)" sheetId="10" r:id="rId10"/>
    <sheet name="10 sensitivity analysis" sheetId="11" r:id="rId11"/>
    <sheet name="11 RFR " sheetId="12" r:id="rId12"/>
  </sheets>
  <definedNames/>
  <calcPr fullCalcOnLoad="1"/>
</workbook>
</file>

<file path=xl/comments12.xml><?xml version="1.0" encoding="utf-8"?>
<comments xmlns="http://schemas.openxmlformats.org/spreadsheetml/2006/main">
  <authors>
    <author>Lee.Moscovitch</author>
  </authors>
  <commentList>
    <comment ref="L3" authorId="0">
      <text>
        <r>
          <rPr>
            <b/>
            <sz val="8"/>
            <rFont val="Tahoma"/>
            <family val="0"/>
          </rPr>
          <t>Lee.Moscovitch:</t>
        </r>
        <r>
          <rPr>
            <sz val="8"/>
            <rFont val="Tahoma"/>
            <family val="0"/>
          </rPr>
          <t xml:space="preserve">
Activation Switch for sensitivity</t>
        </r>
      </text>
    </comment>
  </commentList>
</comments>
</file>

<file path=xl/sharedStrings.xml><?xml version="1.0" encoding="utf-8"?>
<sst xmlns="http://schemas.openxmlformats.org/spreadsheetml/2006/main" count="269" uniqueCount="186">
  <si>
    <t>No.</t>
  </si>
  <si>
    <t>FS</t>
  </si>
  <si>
    <t>Urban construction fee and education surcharge (% of VAT)</t>
  </si>
  <si>
    <t>Value-added tax rate</t>
  </si>
  <si>
    <t>Item</t>
  </si>
  <si>
    <t>No.</t>
  </si>
  <si>
    <t>Item</t>
  </si>
  <si>
    <t>cash inflow</t>
  </si>
  <si>
    <t>cash outflow</t>
  </si>
  <si>
    <t>O &amp; M cost</t>
  </si>
  <si>
    <t>net cash flow</t>
  </si>
  <si>
    <t>income tax</t>
  </si>
  <si>
    <t>IRR without CER(include tax)</t>
  </si>
  <si>
    <t>Sensitivity factor</t>
  </si>
  <si>
    <t>O &amp;M Cost</t>
  </si>
  <si>
    <t>sales revenue</t>
  </si>
  <si>
    <t>recovered circulating fund</t>
  </si>
  <si>
    <t>circulating fund</t>
  </si>
  <si>
    <t>Capital Investment</t>
  </si>
  <si>
    <t>Construction Period</t>
  </si>
  <si>
    <t>1.1.1</t>
  </si>
  <si>
    <t>1.1.2</t>
  </si>
  <si>
    <t>sales revenue</t>
  </si>
  <si>
    <t>sales revenue of coke powder</t>
  </si>
  <si>
    <t>sales revenue of electricity</t>
  </si>
  <si>
    <t>2.2</t>
  </si>
  <si>
    <t>2.3</t>
  </si>
  <si>
    <r>
      <t>Unit: 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 RMB yuan</t>
    </r>
  </si>
  <si>
    <t>Raw materials</t>
  </si>
  <si>
    <t>Power consumption</t>
  </si>
  <si>
    <t>Table: Raw Materilas and Power Consumption</t>
  </si>
  <si>
    <t>Ammonical liquor</t>
  </si>
  <si>
    <t>Disodium phosphate</t>
  </si>
  <si>
    <t>Hydrazine</t>
  </si>
  <si>
    <t>2.1</t>
  </si>
  <si>
    <t>Water</t>
  </si>
  <si>
    <t>Electricity</t>
  </si>
  <si>
    <t>Steam</t>
  </si>
  <si>
    <t>No.</t>
  </si>
  <si>
    <t>Item</t>
  </si>
  <si>
    <t>1.1</t>
  </si>
  <si>
    <t>HCl</t>
  </si>
  <si>
    <r>
      <t>NaOH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42%</t>
    </r>
    <r>
      <rPr>
        <sz val="11"/>
        <rFont val="宋体"/>
        <family val="0"/>
      </rPr>
      <t>）</t>
    </r>
  </si>
  <si>
    <r>
      <t>N</t>
    </r>
    <r>
      <rPr>
        <vertAlign val="subscript"/>
        <sz val="11"/>
        <rFont val="Times New Roman"/>
        <family val="1"/>
      </rPr>
      <t>2</t>
    </r>
  </si>
  <si>
    <r>
      <t>Annual consumption (Unit: t/m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/MWh)</t>
    </r>
  </si>
  <si>
    <t>Total</t>
  </si>
  <si>
    <t>Compressed air</t>
  </si>
  <si>
    <t>Unit price (RMB yuan)</t>
  </si>
  <si>
    <t>510 is from ECPG Document.</t>
  </si>
  <si>
    <r>
      <t>Note:</t>
    </r>
    <r>
      <rPr>
        <sz val="14"/>
        <color indexed="8"/>
        <rFont val="Times New Roman"/>
        <family val="1"/>
      </rPr>
      <t xml:space="preserve"> The electricity price exclude VAT(RMB/MWh) in FS was 380, however,based on the conservative principle, 510 (the electricity price include VAT(RMB/MWh)) is used in the PDD. </t>
    </r>
  </si>
  <si>
    <t>Item</t>
  </si>
  <si>
    <t>Value</t>
  </si>
  <si>
    <t>Data Source</t>
  </si>
  <si>
    <t>Annual Gross Generation(GWh/yr)</t>
  </si>
  <si>
    <t>FS</t>
  </si>
  <si>
    <t>Anxilury use of electricity (Gwh/yr)</t>
  </si>
  <si>
    <t>Expected annual grid electricity (Gwh/yr)</t>
  </si>
  <si>
    <t>Value-added tax rate</t>
  </si>
  <si>
    <t>17% or 13%</t>
  </si>
  <si>
    <t>Income tax rate</t>
  </si>
  <si>
    <t>O&amp;M cost(million RMB)</t>
  </si>
  <si>
    <t>Calculated</t>
  </si>
  <si>
    <t>Coke powder price exclude VAT(RMB/t)</t>
  </si>
  <si>
    <t>ECPG Document</t>
  </si>
  <si>
    <t>Amount of Coke powder(t/yr)</t>
  </si>
  <si>
    <r>
      <t>i</t>
    </r>
    <r>
      <rPr>
        <sz val="10"/>
        <color indexed="8"/>
        <rFont val="Times New Roman"/>
        <family val="1"/>
      </rPr>
      <t>nput</t>
    </r>
    <r>
      <rPr>
        <sz val="10"/>
        <color indexed="8"/>
        <rFont val="Times New Roman"/>
        <family val="1"/>
      </rPr>
      <t xml:space="preserve"> tax of coke powder</t>
    </r>
  </si>
  <si>
    <r>
      <t>i</t>
    </r>
    <r>
      <rPr>
        <sz val="10"/>
        <color indexed="8"/>
        <rFont val="Times New Roman"/>
        <family val="1"/>
      </rPr>
      <t>nput</t>
    </r>
    <r>
      <rPr>
        <sz val="10"/>
        <color indexed="8"/>
        <rFont val="Times New Roman"/>
        <family val="1"/>
      </rPr>
      <t xml:space="preserve"> tax of electricity</t>
    </r>
  </si>
  <si>
    <r>
      <t>Total amount (10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RMB yuan)</t>
    </r>
  </si>
  <si>
    <r>
      <t>Amount (10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RMB yuan)</t>
    </r>
  </si>
  <si>
    <t>output tax</t>
  </si>
  <si>
    <t>VAT</t>
  </si>
  <si>
    <t>education and constrcution fee</t>
  </si>
  <si>
    <r>
      <t>i</t>
    </r>
    <r>
      <rPr>
        <sz val="10"/>
        <color indexed="8"/>
        <rFont val="Times New Roman"/>
        <family val="1"/>
      </rPr>
      <t>nput tax</t>
    </r>
  </si>
  <si>
    <t>Output tax</t>
  </si>
  <si>
    <t>1.1.1.1</t>
  </si>
  <si>
    <t>1.1.2.1</t>
  </si>
  <si>
    <t>VAT and education and construction fee</t>
  </si>
  <si>
    <r>
      <t>Total</t>
    </r>
    <r>
      <rPr>
        <sz val="11"/>
        <color indexed="8"/>
        <rFont val="Times New Roman"/>
        <family val="1"/>
      </rPr>
      <t xml:space="preserve"> Static</t>
    </r>
    <r>
      <rPr>
        <sz val="11"/>
        <color indexed="8"/>
        <rFont val="Times New Roman"/>
        <family val="1"/>
      </rPr>
      <t xml:space="preserve"> Investment (million RMB)</t>
    </r>
  </si>
  <si>
    <t>Depreciation Period</t>
  </si>
  <si>
    <t>fixed assets</t>
  </si>
  <si>
    <t>original value</t>
  </si>
  <si>
    <t>net value</t>
  </si>
  <si>
    <t>building construction</t>
  </si>
  <si>
    <t>fixed assets subtotal</t>
  </si>
  <si>
    <t>electronic aid</t>
  </si>
  <si>
    <t>depreciation fees</t>
  </si>
  <si>
    <t xml:space="preserve">machinery equipment </t>
  </si>
  <si>
    <t>Intangible assets subtotal</t>
  </si>
  <si>
    <t>Amortization Period</t>
  </si>
  <si>
    <t>land-use right</t>
  </si>
  <si>
    <t>amortization fees</t>
  </si>
  <si>
    <t>other intangible assets</t>
  </si>
  <si>
    <t>deferred assets</t>
  </si>
  <si>
    <t xml:space="preserve">Total intangible and deferred assets </t>
  </si>
  <si>
    <t>proprietary technology and patent right</t>
  </si>
  <si>
    <t>recovered remaining fixed assets</t>
  </si>
  <si>
    <r>
      <t>Unit: 10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 xml:space="preserve"> RMB yuan</t>
    </r>
  </si>
  <si>
    <t>Own fund</t>
  </si>
  <si>
    <t>bank load</t>
  </si>
  <si>
    <t>interest in construction period</t>
  </si>
  <si>
    <t>interest on bank load</t>
  </si>
  <si>
    <t>own circulating fund</t>
  </si>
  <si>
    <t>load circulating fund</t>
  </si>
  <si>
    <t>Total fund demand</t>
  </si>
  <si>
    <t>Total</t>
  </si>
  <si>
    <t>productive rate (%)</t>
  </si>
  <si>
    <t>Total</t>
  </si>
  <si>
    <t>Total expense cost</t>
  </si>
  <si>
    <t>load rate</t>
  </si>
  <si>
    <t>bank load ratio</t>
  </si>
  <si>
    <t>own fund ratio</t>
  </si>
  <si>
    <t xml:space="preserve"> </t>
  </si>
  <si>
    <t>production cost</t>
  </si>
  <si>
    <t>raw material</t>
  </si>
  <si>
    <t>power consumption</t>
  </si>
  <si>
    <t>Wages and welfare expenses</t>
  </si>
  <si>
    <t xml:space="preserve">manufacturing burden </t>
  </si>
  <si>
    <t>1.4.1</t>
  </si>
  <si>
    <t>1.4.2</t>
  </si>
  <si>
    <t>other fees</t>
  </si>
  <si>
    <t>sales fees</t>
  </si>
  <si>
    <t>overhead expenses</t>
  </si>
  <si>
    <t>finacial fees</t>
  </si>
  <si>
    <t>total cost</t>
  </si>
  <si>
    <t>O&amp;M cost</t>
  </si>
  <si>
    <t>income tax</t>
  </si>
  <si>
    <t>profit after tax</t>
  </si>
  <si>
    <t>profit(1-2-3)</t>
  </si>
  <si>
    <t>Profits not distributed yet</t>
  </si>
  <si>
    <t>profit before tax</t>
  </si>
  <si>
    <t>deficit coverage, previous years</t>
  </si>
  <si>
    <t>Electricity price exclude VAT(RMB/MWh)</t>
  </si>
  <si>
    <t>Distributable profits for investors</t>
  </si>
  <si>
    <t>Take over legal surplus accumulation fund (10%)</t>
  </si>
  <si>
    <t>fixed assets</t>
  </si>
  <si>
    <t>load rate</t>
  </si>
  <si>
    <t>lending fund this year</t>
  </si>
  <si>
    <t>principal and interest at the beginning of this  year</t>
  </si>
  <si>
    <t>interest accrued this year</t>
  </si>
  <si>
    <t>interest paid this year</t>
  </si>
  <si>
    <t>Thereinto: using for paying load</t>
  </si>
  <si>
    <t>Accumulative undistributed Profits</t>
  </si>
  <si>
    <t>interest</t>
  </si>
  <si>
    <t xml:space="preserve">Profits not distributed </t>
  </si>
  <si>
    <t>principal and interest at the end of this  year</t>
  </si>
  <si>
    <t>Profits to be distributed</t>
  </si>
  <si>
    <t>Operating time</t>
  </si>
  <si>
    <t>Total static investment</t>
  </si>
  <si>
    <t>Coke melting loss</t>
  </si>
  <si>
    <t>Breakeven Analysis for Benchmark</t>
  </si>
  <si>
    <t>Base Case</t>
  </si>
  <si>
    <t>Change</t>
  </si>
  <si>
    <t>Benchmark</t>
  </si>
  <si>
    <t xml:space="preserve">Change to total investment </t>
  </si>
  <si>
    <t>O&amp;M Cost</t>
  </si>
  <si>
    <t>Operating Time</t>
  </si>
  <si>
    <t>NPV ANALYSIS FOR RFR</t>
  </si>
  <si>
    <t>IRR Benchmark</t>
  </si>
  <si>
    <t xml:space="preserve">Baseline Continutation </t>
  </si>
  <si>
    <t>Cost of electricity</t>
  </si>
  <si>
    <t xml:space="preserve">Tax saving </t>
  </si>
  <si>
    <t>Total</t>
  </si>
  <si>
    <t>NPV</t>
  </si>
  <si>
    <t>Difference baseline and project</t>
  </si>
  <si>
    <t>Confirmation</t>
  </si>
  <si>
    <t>Project Conducted without CDM</t>
  </si>
  <si>
    <t>Net Cash Flow</t>
  </si>
  <si>
    <t>Less: Electricity Revenue</t>
  </si>
  <si>
    <t>Tax Adjustment</t>
  </si>
  <si>
    <t xml:space="preserve">Including CDM Revenue </t>
  </si>
  <si>
    <t>Price per CER EURO</t>
  </si>
  <si>
    <t>Chinese Tax</t>
  </si>
  <si>
    <t>Exchange rate</t>
  </si>
  <si>
    <t>Total Revenue</t>
  </si>
  <si>
    <t>principal paid this year</t>
  </si>
  <si>
    <t xml:space="preserve">Levelized Power Cost Analysis </t>
  </si>
  <si>
    <t>Model IRR</t>
  </si>
  <si>
    <t>Power price % adjustment</t>
  </si>
  <si>
    <t>Power price base case</t>
  </si>
  <si>
    <t>Power price to achieve 11% IRR</t>
  </si>
  <si>
    <t>Required Increase</t>
  </si>
  <si>
    <t xml:space="preserve">NPV Analysis </t>
  </si>
  <si>
    <t xml:space="preserve">NPV Analysis - Continue with import of electricity </t>
  </si>
  <si>
    <r>
      <t>Unit: 10</t>
    </r>
    <r>
      <rPr>
        <vertAlign val="superscript"/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 xml:space="preserve"> RMB yuan</t>
    </r>
  </si>
  <si>
    <t>NPV Analysis - Project without CDM</t>
  </si>
  <si>
    <t>NPV Analysis - Project inc CDM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</si>
</sst>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&quot;$&quot;#,##0.00_);[Red]\(&quot;$&quot;#,##0.00\)"/>
    <numFmt numFmtId="185" formatCode="#,##0.00_ ;\-#,##0.00\ "/>
    <numFmt numFmtId="186" formatCode="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0"/>
    <numFmt numFmtId="196" formatCode="0.0000"/>
    <numFmt numFmtId="197" formatCode="#,##0.000000000000"/>
  </numFmts>
  <fonts count="47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vertAlign val="superscript"/>
      <sz val="10"/>
      <color indexed="8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宋体"/>
      <family val="0"/>
    </font>
    <font>
      <vertAlign val="superscript"/>
      <sz val="11"/>
      <color indexed="8"/>
      <name val="宋体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12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21" borderId="2" applyNumberFormat="0" applyAlignment="0" applyProtection="0"/>
    <xf numFmtId="0" fontId="15" fillId="0" borderId="9" applyNumberFormat="0" applyFill="0" applyAlignment="0" applyProtection="0"/>
    <xf numFmtId="0" fontId="0" fillId="23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23" fillId="7" borderId="1" applyNumberFormat="0" applyAlignment="0" applyProtection="0"/>
    <xf numFmtId="0" fontId="22" fillId="20" borderId="8" applyNumberFormat="0" applyAlignment="0" applyProtection="0"/>
    <xf numFmtId="0" fontId="21" fillId="22" borderId="0" applyNumberFormat="0" applyBorder="0" applyAlignment="0" applyProtection="0"/>
    <xf numFmtId="0" fontId="20" fillId="0" borderId="6" applyNumberFormat="0" applyFill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7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9" fontId="27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178" fontId="33" fillId="0" borderId="11" xfId="0" applyNumberFormat="1" applyFont="1" applyBorder="1" applyAlignment="1">
      <alignment horizontal="center" vertical="center" wrapText="1"/>
    </xf>
    <xf numFmtId="178" fontId="27" fillId="0" borderId="11" xfId="0" applyNumberFormat="1" applyFont="1" applyBorder="1" applyAlignment="1">
      <alignment horizontal="center" vertical="center" wrapText="1"/>
    </xf>
    <xf numFmtId="178" fontId="29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177" fontId="33" fillId="0" borderId="14" xfId="0" applyNumberFormat="1" applyFont="1" applyBorder="1" applyAlignment="1">
      <alignment horizontal="center" vertical="center" wrapText="1"/>
    </xf>
    <xf numFmtId="178" fontId="33" fillId="0" borderId="15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10" xfId="0" applyFont="1" applyFill="1" applyBorder="1" applyAlignment="1">
      <alignment/>
    </xf>
    <xf numFmtId="177" fontId="27" fillId="0" borderId="16" xfId="0" applyNumberFormat="1" applyFont="1" applyBorder="1" applyAlignment="1">
      <alignment horizontal="center" vertical="center" wrapText="1"/>
    </xf>
    <xf numFmtId="177" fontId="29" fillId="0" borderId="16" xfId="0" applyNumberFormat="1" applyFont="1" applyBorder="1" applyAlignment="1">
      <alignment horizontal="center" vertical="center" wrapText="1"/>
    </xf>
    <xf numFmtId="177" fontId="33" fillId="0" borderId="17" xfId="0" applyNumberFormat="1" applyFont="1" applyBorder="1" applyAlignment="1">
      <alignment horizontal="center" vertical="center" wrapText="1"/>
    </xf>
    <xf numFmtId="177" fontId="33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Fill="1" applyBorder="1" applyAlignment="1">
      <alignment/>
    </xf>
    <xf numFmtId="9" fontId="5" fillId="0" borderId="0" xfId="0" applyNumberFormat="1" applyFont="1" applyAlignment="1">
      <alignment/>
    </xf>
    <xf numFmtId="2" fontId="27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/>
    </xf>
    <xf numFmtId="0" fontId="33" fillId="24" borderId="12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177" fontId="33" fillId="24" borderId="10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 quotePrefix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7" fontId="27" fillId="24" borderId="10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 quotePrefix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177" fontId="29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7" fillId="0" borderId="10" xfId="0" applyFont="1" applyBorder="1" applyAlignment="1">
      <alignment horizontal="center"/>
    </xf>
    <xf numFmtId="178" fontId="5" fillId="0" borderId="0" xfId="0" applyNumberFormat="1" applyFont="1" applyAlignment="1">
      <alignment horizontal="right"/>
    </xf>
    <xf numFmtId="178" fontId="5" fillId="0" borderId="10" xfId="0" applyNumberFormat="1" applyFont="1" applyBorder="1" applyAlignment="1">
      <alignment/>
    </xf>
    <xf numFmtId="178" fontId="27" fillId="0" borderId="10" xfId="0" applyNumberFormat="1" applyFont="1" applyBorder="1" applyAlignment="1">
      <alignment horizont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0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27" fillId="0" borderId="10" xfId="0" applyNumberFormat="1" applyFont="1" applyBorder="1" applyAlignment="1">
      <alignment/>
    </xf>
    <xf numFmtId="178" fontId="5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9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/>
    </xf>
    <xf numFmtId="178" fontId="27" fillId="25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4" borderId="10" xfId="0" applyFont="1" applyFill="1" applyBorder="1" applyAlignment="1">
      <alignment/>
    </xf>
    <xf numFmtId="9" fontId="5" fillId="4" borderId="10" xfId="0" applyNumberFormat="1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27" fillId="0" borderId="0" xfId="0" applyFont="1" applyFill="1" applyAlignment="1">
      <alignment vertical="center"/>
    </xf>
    <xf numFmtId="177" fontId="27" fillId="0" borderId="0" xfId="0" applyNumberFormat="1" applyFont="1" applyFill="1" applyAlignment="1">
      <alignment vertical="center"/>
    </xf>
    <xf numFmtId="0" fontId="5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39" fillId="20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84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177" fontId="2" fillId="20" borderId="0" xfId="0" applyNumberFormat="1" applyFont="1" applyFill="1" applyBorder="1" applyAlignment="1">
      <alignment vertical="center"/>
    </xf>
    <xf numFmtId="9" fontId="40" fillId="20" borderId="0" xfId="0" applyNumberFormat="1" applyFont="1" applyFill="1" applyBorder="1" applyAlignment="1">
      <alignment vertical="center"/>
    </xf>
    <xf numFmtId="0" fontId="2" fillId="20" borderId="0" xfId="0" applyFont="1" applyFill="1" applyAlignment="1">
      <alignment/>
    </xf>
    <xf numFmtId="0" fontId="39" fillId="20" borderId="0" xfId="0" applyFont="1" applyFill="1" applyAlignment="1">
      <alignment/>
    </xf>
    <xf numFmtId="0" fontId="2" fillId="20" borderId="0" xfId="0" applyFont="1" applyFill="1" applyBorder="1" applyAlignment="1">
      <alignment/>
    </xf>
    <xf numFmtId="185" fontId="2" fillId="0" borderId="0" xfId="0" applyNumberFormat="1" applyFont="1" applyAlignment="1">
      <alignment/>
    </xf>
    <xf numFmtId="185" fontId="2" fillId="0" borderId="18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71" fontId="2" fillId="0" borderId="0" xfId="60" applyFont="1" applyBorder="1" applyAlignment="1">
      <alignment/>
    </xf>
    <xf numFmtId="184" fontId="2" fillId="0" borderId="0" xfId="0" applyNumberFormat="1" applyFont="1" applyAlignment="1">
      <alignment/>
    </xf>
    <xf numFmtId="0" fontId="3" fillId="20" borderId="0" xfId="0" applyFont="1" applyFill="1" applyBorder="1" applyAlignment="1">
      <alignment/>
    </xf>
    <xf numFmtId="178" fontId="2" fillId="0" borderId="0" xfId="0" applyNumberFormat="1" applyFont="1" applyAlignment="1">
      <alignment/>
    </xf>
    <xf numFmtId="185" fontId="2" fillId="0" borderId="0" xfId="0" applyNumberFormat="1" applyFont="1" applyBorder="1" applyAlignment="1">
      <alignment vertical="center"/>
    </xf>
    <xf numFmtId="185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2" fillId="0" borderId="18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0" fontId="15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86" fontId="19" fillId="25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5" fillId="25" borderId="0" xfId="0" applyFont="1" applyFill="1" applyAlignment="1">
      <alignment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5" fillId="2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24" borderId="20" xfId="0" applyFont="1" applyFill="1" applyBorder="1" applyAlignment="1">
      <alignment horizontal="center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好" xfId="81"/>
    <cellStyle name="差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标题" xfId="89"/>
    <cellStyle name="标题 1" xfId="90"/>
    <cellStyle name="标题 2" xfId="91"/>
    <cellStyle name="标题 3" xfId="92"/>
    <cellStyle name="标题 4" xfId="93"/>
    <cellStyle name="检查单元格" xfId="94"/>
    <cellStyle name="汇总" xfId="95"/>
    <cellStyle name="注释" xfId="96"/>
    <cellStyle name="解释性文本" xfId="97"/>
    <cellStyle name="警告文本" xfId="98"/>
    <cellStyle name="计算" xfId="99"/>
    <cellStyle name="输入" xfId="100"/>
    <cellStyle name="输出" xfId="101"/>
    <cellStyle name="适中" xfId="102"/>
    <cellStyle name="链接单元格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75"/>
          <c:w val="0.675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'10 sensitivity analysis'!$A$2</c:f>
              <c:strCache>
                <c:ptCount val="1"/>
                <c:pt idx="0">
                  <c:v>Total static investment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'10 sensitivity analysis'!$B$1:$F$1</c:f>
              <c:numCach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'10 sensitivity analysis'!$B$2:$F$2</c:f>
              <c:numCache>
                <c:ptCount val="5"/>
                <c:pt idx="0">
                  <c:v>0.09662941808231082</c:v>
                </c:pt>
                <c:pt idx="1">
                  <c:v>0.09104884471339507</c:v>
                </c:pt>
                <c:pt idx="2">
                  <c:v>0.08592457377477525</c:v>
                </c:pt>
                <c:pt idx="3">
                  <c:v>0.08115001886570003</c:v>
                </c:pt>
                <c:pt idx="4">
                  <c:v>0.07666885087780628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 sensitivity analysis'!$A$3</c:f>
              <c:strCache>
                <c:ptCount val="1"/>
                <c:pt idx="0">
                  <c:v>O &amp;M Cost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'10 sensitivity analysis'!$B$1:$F$1</c:f>
              <c:numCach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'10 sensitivity analysis'!$B$3:$F$3</c:f>
              <c:numCache>
                <c:ptCount val="5"/>
                <c:pt idx="0">
                  <c:v>0.09143238721594008</c:v>
                </c:pt>
                <c:pt idx="1">
                  <c:v>0.08869429032546218</c:v>
                </c:pt>
                <c:pt idx="2">
                  <c:v>0.08592457377477525</c:v>
                </c:pt>
                <c:pt idx="3">
                  <c:v>0.0831146152769125</c:v>
                </c:pt>
                <c:pt idx="4">
                  <c:v>0.08025267270566168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'10 sensitivity analysis'!$A$4</c:f>
              <c:strCache>
                <c:ptCount val="1"/>
                <c:pt idx="0">
                  <c:v>Operating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sensitivity analysis'!$B$1:$F$1</c:f>
              <c:numCach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'10 sensitivity analysis'!$B$4:$F$4</c:f>
              <c:numCache>
                <c:ptCount val="5"/>
                <c:pt idx="0">
                  <c:v>0.07385153435710054</c:v>
                </c:pt>
                <c:pt idx="1">
                  <c:v>0.07999769677796446</c:v>
                </c:pt>
                <c:pt idx="2">
                  <c:v>0.08592457377477525</c:v>
                </c:pt>
                <c:pt idx="3">
                  <c:v>0.0916738320465621</c:v>
                </c:pt>
                <c:pt idx="4">
                  <c:v>0.09730938211941301</c:v>
                </c:pt>
              </c:numCache>
            </c:numRef>
          </c:val>
          <c:smooth val="0"/>
        </c:ser>
        <c:marker val="1"/>
        <c:axId val="51093689"/>
        <c:axId val="57190018"/>
      </c:lineChart>
      <c:catAx>
        <c:axId val="51093689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0018"/>
        <c:crosses val="autoZero"/>
        <c:auto val="0"/>
        <c:lblOffset val="100"/>
        <c:tickLblSkip val="1"/>
        <c:noMultiLvlLbl val="0"/>
      </c:catAx>
      <c:valAx>
        <c:axId val="57190018"/>
        <c:scaling>
          <c:orientation val="minMax"/>
          <c:max val="0.11"/>
          <c:min val="0.0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3689"/>
        <c:crossesAt val="1"/>
        <c:crossBetween val="between"/>
        <c:dispUnits/>
        <c:majorUnit val="0.01"/>
        <c:minorUnit val="0.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425"/>
          <c:y val="0.42275"/>
          <c:w val="0.29575"/>
          <c:h val="0.4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C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95250</xdr:rowOff>
    </xdr:from>
    <xdr:to>
      <xdr:col>5</xdr:col>
      <xdr:colOff>333375</xdr:colOff>
      <xdr:row>19</xdr:row>
      <xdr:rowOff>95250</xdr:rowOff>
    </xdr:to>
    <xdr:graphicFrame>
      <xdr:nvGraphicFramePr>
        <xdr:cNvPr id="1" name="Chart 30"/>
        <xdr:cNvGraphicFramePr/>
      </xdr:nvGraphicFramePr>
      <xdr:xfrm>
        <a:off x="66675" y="866775"/>
        <a:ext cx="5334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5" zoomScaleNormal="115" zoomScalePageLayoutView="0" workbookViewId="0" topLeftCell="A1">
      <selection activeCell="C11" sqref="C11"/>
    </sheetView>
  </sheetViews>
  <sheetFormatPr defaultColWidth="9.00390625" defaultRowHeight="13.5"/>
  <cols>
    <col min="1" max="1" width="11.625" style="0" customWidth="1"/>
    <col min="2" max="2" width="46.375" style="0" customWidth="1"/>
    <col min="3" max="3" width="11.50390625" style="0" bestFit="1" customWidth="1"/>
    <col min="4" max="4" width="20.875" style="0" customWidth="1"/>
  </cols>
  <sheetData>
    <row r="1" spans="1:9" ht="14.25">
      <c r="A1" s="48"/>
      <c r="B1" s="7" t="s">
        <v>50</v>
      </c>
      <c r="C1" s="7" t="s">
        <v>51</v>
      </c>
      <c r="D1" s="7" t="s">
        <v>52</v>
      </c>
      <c r="E1" s="49"/>
      <c r="F1" s="49"/>
      <c r="G1" s="49"/>
      <c r="H1" s="49"/>
      <c r="I1" s="49"/>
    </row>
    <row r="2" spans="1:9" s="6" customFormat="1" ht="15">
      <c r="A2" s="50"/>
      <c r="B2" s="51" t="s">
        <v>53</v>
      </c>
      <c r="C2" s="52">
        <f>(237.6)*'10 sensitivity analysis'!B26</f>
        <v>237.6</v>
      </c>
      <c r="D2" s="51" t="s">
        <v>54</v>
      </c>
      <c r="E2" s="53"/>
      <c r="F2" s="50"/>
      <c r="G2" s="50"/>
      <c r="H2" s="50"/>
      <c r="I2" s="50"/>
    </row>
    <row r="3" spans="1:9" s="6" customFormat="1" ht="15">
      <c r="A3" s="50"/>
      <c r="B3" s="51" t="s">
        <v>55</v>
      </c>
      <c r="C3" s="52">
        <v>40.6</v>
      </c>
      <c r="D3" s="51" t="s">
        <v>1</v>
      </c>
      <c r="E3" s="53"/>
      <c r="F3" s="50"/>
      <c r="G3" s="50"/>
      <c r="H3" s="50"/>
      <c r="I3" s="50"/>
    </row>
    <row r="4" spans="1:9" s="6" customFormat="1" ht="15">
      <c r="A4" s="50"/>
      <c r="B4" s="51" t="s">
        <v>56</v>
      </c>
      <c r="C4" s="52">
        <f>C2-C3</f>
        <v>197</v>
      </c>
      <c r="D4" s="51" t="s">
        <v>1</v>
      </c>
      <c r="E4" s="53"/>
      <c r="F4" s="50"/>
      <c r="G4" s="50"/>
      <c r="H4" s="50"/>
      <c r="I4" s="50"/>
    </row>
    <row r="5" spans="1:9" s="6" customFormat="1" ht="15">
      <c r="A5" s="50"/>
      <c r="B5" s="52" t="s">
        <v>57</v>
      </c>
      <c r="C5" s="54" t="s">
        <v>58</v>
      </c>
      <c r="D5" s="51" t="s">
        <v>1</v>
      </c>
      <c r="E5" s="55"/>
      <c r="F5" s="50"/>
      <c r="G5" s="50"/>
      <c r="H5" s="50"/>
      <c r="I5" s="50"/>
    </row>
    <row r="6" spans="1:9" s="6" customFormat="1" ht="15">
      <c r="A6" s="50"/>
      <c r="B6" s="52" t="s">
        <v>2</v>
      </c>
      <c r="C6" s="54">
        <v>0.1</v>
      </c>
      <c r="D6" s="51" t="s">
        <v>1</v>
      </c>
      <c r="E6" s="55"/>
      <c r="F6" s="50"/>
      <c r="G6" s="50"/>
      <c r="H6" s="50"/>
      <c r="I6" s="50"/>
    </row>
    <row r="7" spans="1:9" s="6" customFormat="1" ht="15">
      <c r="A7" s="50"/>
      <c r="B7" s="52" t="s">
        <v>59</v>
      </c>
      <c r="C7" s="54">
        <v>0.33</v>
      </c>
      <c r="D7" s="51" t="s">
        <v>54</v>
      </c>
      <c r="E7" s="55"/>
      <c r="F7" s="50"/>
      <c r="G7" s="50"/>
      <c r="H7" s="50"/>
      <c r="I7" s="50"/>
    </row>
    <row r="8" spans="1:5" s="6" customFormat="1" ht="15">
      <c r="A8" s="50"/>
      <c r="B8" s="51" t="s">
        <v>77</v>
      </c>
      <c r="C8" s="56">
        <f>(452.2057)*'10 sensitivity analysis'!B24</f>
        <v>452.2057</v>
      </c>
      <c r="D8" s="8" t="s">
        <v>1</v>
      </c>
      <c r="E8" s="5"/>
    </row>
    <row r="9" spans="2:5" s="6" customFormat="1" ht="15">
      <c r="B9" s="72" t="s">
        <v>60</v>
      </c>
      <c r="C9" s="105">
        <f>'4 Total expense cost'!E17/100</f>
        <v>57.81864170689999</v>
      </c>
      <c r="D9" s="9" t="s">
        <v>61</v>
      </c>
      <c r="E9" s="5"/>
    </row>
    <row r="10" spans="2:5" s="6" customFormat="1" ht="15">
      <c r="B10" s="8" t="s">
        <v>62</v>
      </c>
      <c r="C10" s="57">
        <v>200</v>
      </c>
      <c r="D10" s="8" t="s">
        <v>1</v>
      </c>
      <c r="E10" s="5"/>
    </row>
    <row r="11" spans="2:5" s="6" customFormat="1" ht="15">
      <c r="B11" s="8" t="s">
        <v>131</v>
      </c>
      <c r="C11" s="57">
        <f>435.9*'11 RFR '!G3</f>
        <v>435.9</v>
      </c>
      <c r="D11" s="9" t="s">
        <v>63</v>
      </c>
      <c r="E11" s="5"/>
    </row>
    <row r="12" spans="1:9" ht="15">
      <c r="A12" s="49"/>
      <c r="B12" s="52" t="s">
        <v>64</v>
      </c>
      <c r="C12" s="51">
        <v>42115.4</v>
      </c>
      <c r="D12" s="51" t="s">
        <v>1</v>
      </c>
      <c r="E12" s="58"/>
      <c r="F12" s="58"/>
      <c r="G12" s="58"/>
      <c r="H12" s="58"/>
      <c r="I12" s="58"/>
    </row>
    <row r="15" ht="14.25">
      <c r="A15" s="30"/>
    </row>
    <row r="16" ht="15" customHeight="1"/>
    <row r="17" ht="15.75" customHeight="1"/>
  </sheetData>
  <sheetProtection/>
  <printOptions/>
  <pageMargins left="0.7" right="0.7" top="0.75" bottom="0.75" header="0.3" footer="0.3"/>
  <pageSetup horizontalDpi="96" verticalDpi="96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B1">
      <pane xSplit="2" topLeftCell="D2" activePane="topRight" state="frozen"/>
      <selection pane="topLeft" activeCell="B1" sqref="B1"/>
      <selection pane="topRight" activeCell="C32" sqref="C32"/>
    </sheetView>
  </sheetViews>
  <sheetFormatPr defaultColWidth="9.00390625" defaultRowHeight="13.5"/>
  <cols>
    <col min="2" max="2" width="6.50390625" style="0" customWidth="1"/>
    <col min="3" max="3" width="27.75390625" style="0" customWidth="1"/>
    <col min="4" max="4" width="21.50390625" style="0" bestFit="1" customWidth="1"/>
    <col min="5" max="5" width="23.50390625" style="0" bestFit="1" customWidth="1"/>
    <col min="6" max="6" width="10.50390625" style="0" bestFit="1" customWidth="1"/>
    <col min="7" max="7" width="9.75390625" style="0" bestFit="1" customWidth="1"/>
    <col min="8" max="25" width="9.625" style="0" bestFit="1" customWidth="1"/>
  </cols>
  <sheetData>
    <row r="1" spans="1:25" ht="34.5" customHeight="1">
      <c r="A1" s="4"/>
      <c r="B1" s="184" t="s">
        <v>27</v>
      </c>
      <c r="C1" s="18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>
      <c r="A2" s="2" t="s">
        <v>0</v>
      </c>
      <c r="B2" s="12" t="s">
        <v>5</v>
      </c>
      <c r="C2" s="14" t="s">
        <v>6</v>
      </c>
      <c r="D2" s="183" t="s">
        <v>19</v>
      </c>
      <c r="E2" s="183"/>
      <c r="F2" s="14">
        <v>3</v>
      </c>
      <c r="G2" s="14">
        <v>4</v>
      </c>
      <c r="H2" s="14">
        <v>5</v>
      </c>
      <c r="I2" s="14">
        <v>6</v>
      </c>
      <c r="J2" s="14">
        <v>7</v>
      </c>
      <c r="K2" s="14">
        <v>8</v>
      </c>
      <c r="L2" s="14">
        <v>9</v>
      </c>
      <c r="M2" s="14">
        <v>10</v>
      </c>
      <c r="N2" s="14">
        <v>11</v>
      </c>
      <c r="O2" s="14">
        <v>12</v>
      </c>
      <c r="P2" s="14">
        <v>13</v>
      </c>
      <c r="Q2" s="14">
        <v>14</v>
      </c>
      <c r="R2" s="14">
        <v>15</v>
      </c>
      <c r="S2" s="14">
        <v>16</v>
      </c>
      <c r="T2" s="14">
        <v>17</v>
      </c>
      <c r="U2" s="14">
        <v>18</v>
      </c>
      <c r="V2" s="14">
        <v>19</v>
      </c>
      <c r="W2" s="14">
        <v>20</v>
      </c>
      <c r="X2" s="14">
        <v>21</v>
      </c>
      <c r="Y2" s="14">
        <v>22</v>
      </c>
    </row>
    <row r="3" spans="1:25" ht="13.5">
      <c r="A3" s="2">
        <v>1</v>
      </c>
      <c r="B3" s="12">
        <v>1</v>
      </c>
      <c r="C3" s="13" t="s">
        <v>7</v>
      </c>
      <c r="D3" s="18"/>
      <c r="E3" s="18"/>
      <c r="F3" s="18">
        <f aca="true" t="shared" si="0" ref="F3:Y3">F4+F5+F6</f>
        <v>10482.537312</v>
      </c>
      <c r="G3" s="18">
        <f t="shared" si="0"/>
        <v>13103.17164</v>
      </c>
      <c r="H3" s="18">
        <f t="shared" si="0"/>
        <v>13103.17164</v>
      </c>
      <c r="I3" s="18">
        <f t="shared" si="0"/>
        <v>13103.17164</v>
      </c>
      <c r="J3" s="18">
        <f t="shared" si="0"/>
        <v>13103.17164</v>
      </c>
      <c r="K3" s="18">
        <f t="shared" si="0"/>
        <v>13103.17164</v>
      </c>
      <c r="L3" s="18">
        <f t="shared" si="0"/>
        <v>13103.17164</v>
      </c>
      <c r="M3" s="18">
        <f t="shared" si="0"/>
        <v>13103.17164</v>
      </c>
      <c r="N3" s="18">
        <f t="shared" si="0"/>
        <v>13103.17164</v>
      </c>
      <c r="O3" s="18">
        <f t="shared" si="0"/>
        <v>13103.17164</v>
      </c>
      <c r="P3" s="18">
        <f t="shared" si="0"/>
        <v>13103.17164</v>
      </c>
      <c r="Q3" s="18">
        <f t="shared" si="0"/>
        <v>13103.17164</v>
      </c>
      <c r="R3" s="18">
        <f t="shared" si="0"/>
        <v>13103.17164</v>
      </c>
      <c r="S3" s="18">
        <f t="shared" si="0"/>
        <v>13103.17164</v>
      </c>
      <c r="T3" s="18">
        <f t="shared" si="0"/>
        <v>13103.17164</v>
      </c>
      <c r="U3" s="18">
        <f t="shared" si="0"/>
        <v>13103.17164</v>
      </c>
      <c r="V3" s="18">
        <f t="shared" si="0"/>
        <v>13103.17164</v>
      </c>
      <c r="W3" s="18">
        <f t="shared" si="0"/>
        <v>13103.17164</v>
      </c>
      <c r="X3" s="18">
        <f t="shared" si="0"/>
        <v>13103.17164</v>
      </c>
      <c r="Y3" s="18">
        <f t="shared" si="0"/>
        <v>15766.49164</v>
      </c>
    </row>
    <row r="4" spans="1:26" ht="13.5">
      <c r="A4" s="2">
        <v>1.1</v>
      </c>
      <c r="B4" s="12">
        <v>1.1</v>
      </c>
      <c r="C4" s="13" t="s">
        <v>15</v>
      </c>
      <c r="D4" s="19"/>
      <c r="E4" s="18"/>
      <c r="F4" s="18">
        <f>'5 Profit and loss'!D4</f>
        <v>10482.537312</v>
      </c>
      <c r="G4" s="18">
        <f>'5 Profit and loss'!E4</f>
        <v>13103.17164</v>
      </c>
      <c r="H4" s="18">
        <f>'5 Profit and loss'!F4</f>
        <v>13103.17164</v>
      </c>
      <c r="I4" s="18">
        <f>'5 Profit and loss'!G4</f>
        <v>13103.17164</v>
      </c>
      <c r="J4" s="18">
        <f>'5 Profit and loss'!H4</f>
        <v>13103.17164</v>
      </c>
      <c r="K4" s="18">
        <f>'5 Profit and loss'!I4</f>
        <v>13103.17164</v>
      </c>
      <c r="L4" s="18">
        <f>'5 Profit and loss'!J4</f>
        <v>13103.17164</v>
      </c>
      <c r="M4" s="18">
        <f>'5 Profit and loss'!K4</f>
        <v>13103.17164</v>
      </c>
      <c r="N4" s="18">
        <f>'5 Profit and loss'!L4</f>
        <v>13103.17164</v>
      </c>
      <c r="O4" s="18">
        <f>'5 Profit and loss'!M4</f>
        <v>13103.17164</v>
      </c>
      <c r="P4" s="18">
        <f>'5 Profit and loss'!N4</f>
        <v>13103.17164</v>
      </c>
      <c r="Q4" s="18">
        <f>'5 Profit and loss'!O4</f>
        <v>13103.17164</v>
      </c>
      <c r="R4" s="18">
        <f>'5 Profit and loss'!P4</f>
        <v>13103.17164</v>
      </c>
      <c r="S4" s="18">
        <f>'5 Profit and loss'!Q4</f>
        <v>13103.17164</v>
      </c>
      <c r="T4" s="18">
        <f>'5 Profit and loss'!R4</f>
        <v>13103.17164</v>
      </c>
      <c r="U4" s="18">
        <f>'5 Profit and loss'!S4</f>
        <v>13103.17164</v>
      </c>
      <c r="V4" s="18">
        <f>'5 Profit and loss'!T4</f>
        <v>13103.17164</v>
      </c>
      <c r="W4" s="18">
        <f>'5 Profit and loss'!U4</f>
        <v>13103.17164</v>
      </c>
      <c r="X4" s="18">
        <f>'5 Profit and loss'!V4</f>
        <v>13103.17164</v>
      </c>
      <c r="Y4" s="18">
        <f>'5 Profit and loss'!W4</f>
        <v>13103.17164</v>
      </c>
      <c r="Z4" s="18"/>
    </row>
    <row r="5" spans="1:25" ht="13.5">
      <c r="A5" s="2">
        <v>1.2</v>
      </c>
      <c r="B5" s="13">
        <v>1.2</v>
      </c>
      <c r="C5" s="13" t="s">
        <v>95</v>
      </c>
      <c r="D5" s="1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>
        <v>2140.35</v>
      </c>
    </row>
    <row r="6" spans="1:25" ht="13.5">
      <c r="A6" s="2">
        <v>1.3</v>
      </c>
      <c r="B6" s="13">
        <v>1.3</v>
      </c>
      <c r="C6" s="13" t="s">
        <v>16</v>
      </c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>
        <v>522.97</v>
      </c>
    </row>
    <row r="7" spans="1:25" ht="13.5">
      <c r="A7" s="2">
        <v>2</v>
      </c>
      <c r="B7" s="13">
        <v>2</v>
      </c>
      <c r="C7" s="13" t="s">
        <v>8</v>
      </c>
      <c r="D7" s="18">
        <f aca="true" t="shared" si="1" ref="D7:Y7">D8+D9+D10+D11+D12</f>
        <v>22610.28</v>
      </c>
      <c r="E7" s="18">
        <f t="shared" si="1"/>
        <v>22610.29</v>
      </c>
      <c r="F7" s="18">
        <f t="shared" si="1"/>
        <v>6660.141009550954</v>
      </c>
      <c r="G7" s="18">
        <f>G8+G9+G10+G11+G12</f>
        <v>7282.566261938691</v>
      </c>
      <c r="H7" s="18">
        <f t="shared" si="1"/>
        <v>7248.976261938692</v>
      </c>
      <c r="I7" s="18">
        <f t="shared" si="1"/>
        <v>7464.715423245184</v>
      </c>
      <c r="J7" s="18">
        <f t="shared" si="1"/>
        <v>7627.478855948424</v>
      </c>
      <c r="K7" s="18">
        <f t="shared" si="1"/>
        <v>7738.810989709022</v>
      </c>
      <c r="L7" s="18">
        <f t="shared" si="1"/>
        <v>7826.217089417067</v>
      </c>
      <c r="M7" s="18">
        <f t="shared" si="1"/>
        <v>7916.848788866298</v>
      </c>
      <c r="N7" s="18">
        <f t="shared" si="1"/>
        <v>8010.825124299325</v>
      </c>
      <c r="O7" s="18">
        <f t="shared" si="1"/>
        <v>8041.2859841409245</v>
      </c>
      <c r="P7" s="18">
        <f t="shared" si="1"/>
        <v>8254.806164640924</v>
      </c>
      <c r="Q7" s="18">
        <f t="shared" si="1"/>
        <v>8254.806164640924</v>
      </c>
      <c r="R7" s="18">
        <f t="shared" si="1"/>
        <v>8978.294149640924</v>
      </c>
      <c r="S7" s="18">
        <f t="shared" si="1"/>
        <v>8978.294149640924</v>
      </c>
      <c r="T7" s="18">
        <f t="shared" si="1"/>
        <v>8978.294149640924</v>
      </c>
      <c r="U7" s="18">
        <f t="shared" si="1"/>
        <v>8978.294149640924</v>
      </c>
      <c r="V7" s="18">
        <f t="shared" si="1"/>
        <v>8978.294149640924</v>
      </c>
      <c r="W7" s="18">
        <f t="shared" si="1"/>
        <v>8978.294149640924</v>
      </c>
      <c r="X7" s="18">
        <f t="shared" si="1"/>
        <v>8978.294149640924</v>
      </c>
      <c r="Y7" s="18">
        <f t="shared" si="1"/>
        <v>8978.294149640924</v>
      </c>
    </row>
    <row r="8" spans="1:25" ht="13.5">
      <c r="A8" s="2">
        <v>2.1</v>
      </c>
      <c r="B8" s="13">
        <v>2.1</v>
      </c>
      <c r="C8" s="13" t="s">
        <v>18</v>
      </c>
      <c r="D8" s="18">
        <f>'1 fund usage plan'!D3</f>
        <v>22610.28</v>
      </c>
      <c r="E8" s="18">
        <f>'1 fund usage plan'!E3</f>
        <v>22610.29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3.5">
      <c r="A9" s="2">
        <v>2.2</v>
      </c>
      <c r="B9" s="13">
        <v>2.2</v>
      </c>
      <c r="C9" s="13" t="s">
        <v>17</v>
      </c>
      <c r="D9" s="19"/>
      <c r="E9" s="18"/>
      <c r="F9" s="18">
        <f>'1 fund usage plan'!F8</f>
        <v>489.37</v>
      </c>
      <c r="G9" s="18">
        <f>'1 fund usage plan'!G8</f>
        <v>33.59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6" ht="13.5">
      <c r="A10" s="2">
        <v>2.3</v>
      </c>
      <c r="B10" s="13">
        <v>2.3</v>
      </c>
      <c r="C10" s="13" t="s">
        <v>9</v>
      </c>
      <c r="D10" s="19"/>
      <c r="E10" s="18"/>
      <c r="F10" s="106">
        <f>'4 Total expense cost'!D17</f>
        <v>4997.081336552</v>
      </c>
      <c r="G10" s="106">
        <f>'4 Total expense cost'!E17</f>
        <v>5781.864170689999</v>
      </c>
      <c r="H10" s="106">
        <f>'4 Total expense cost'!F17</f>
        <v>5781.86417069</v>
      </c>
      <c r="I10" s="106">
        <f>'4 Total expense cost'!G17</f>
        <v>5781.86417069</v>
      </c>
      <c r="J10" s="106">
        <f>'4 Total expense cost'!H17</f>
        <v>5781.864170689999</v>
      </c>
      <c r="K10" s="106">
        <f>'4 Total expense cost'!I17</f>
        <v>5781.86417069</v>
      </c>
      <c r="L10" s="106">
        <f>'4 Total expense cost'!J17</f>
        <v>5781.864170689999</v>
      </c>
      <c r="M10" s="106">
        <f>'4 Total expense cost'!K17</f>
        <v>5781.864170689999</v>
      </c>
      <c r="N10" s="106">
        <f>'4 Total expense cost'!L17</f>
        <v>5781.864170690001</v>
      </c>
      <c r="O10" s="106">
        <f>'4 Total expense cost'!M17</f>
        <v>5781.864170690001</v>
      </c>
      <c r="P10" s="106">
        <f>'4 Total expense cost'!N17</f>
        <v>5781.864170690001</v>
      </c>
      <c r="Q10" s="106">
        <f>'4 Total expense cost'!O17</f>
        <v>5781.864170690001</v>
      </c>
      <c r="R10" s="106">
        <f>'4 Total expense cost'!P17</f>
        <v>5781.86417069</v>
      </c>
      <c r="S10" s="106">
        <f>'4 Total expense cost'!Q17</f>
        <v>5781.86417069</v>
      </c>
      <c r="T10" s="106">
        <f>'4 Total expense cost'!R17</f>
        <v>5781.86417069</v>
      </c>
      <c r="U10" s="106">
        <f>'4 Total expense cost'!S17</f>
        <v>5781.86417069</v>
      </c>
      <c r="V10" s="106">
        <f>'4 Total expense cost'!T17</f>
        <v>5781.86417069</v>
      </c>
      <c r="W10" s="106">
        <f>'4 Total expense cost'!U17</f>
        <v>5781.86417069</v>
      </c>
      <c r="X10" s="106">
        <f>'4 Total expense cost'!V17</f>
        <v>5781.86417069</v>
      </c>
      <c r="Y10" s="106">
        <f>'4 Total expense cost'!W17</f>
        <v>5781.86417069</v>
      </c>
      <c r="Z10" s="11"/>
    </row>
    <row r="11" spans="1:26" ht="13.5">
      <c r="A11" s="2">
        <v>2.4</v>
      </c>
      <c r="B11" s="59">
        <v>2.4</v>
      </c>
      <c r="C11" s="59" t="s">
        <v>76</v>
      </c>
      <c r="D11" s="19"/>
      <c r="E11" s="18"/>
      <c r="F11" s="18">
        <f>'5 Profit and loss'!D5</f>
        <v>1173.689672998954</v>
      </c>
      <c r="G11" s="18">
        <f>'5 Profit and loss'!E5</f>
        <v>1467.1120912486924</v>
      </c>
      <c r="H11" s="18">
        <f>'5 Profit and loss'!F5</f>
        <v>1467.1120912486924</v>
      </c>
      <c r="I11" s="18">
        <f>'5 Profit and loss'!G5</f>
        <v>1467.1120912486924</v>
      </c>
      <c r="J11" s="18">
        <f>'5 Profit and loss'!H5</f>
        <v>1467.1120912486924</v>
      </c>
      <c r="K11" s="18">
        <f>'5 Profit and loss'!I5</f>
        <v>1467.1120912486924</v>
      </c>
      <c r="L11" s="18">
        <f>'5 Profit and loss'!J5</f>
        <v>1467.1120912486924</v>
      </c>
      <c r="M11" s="18">
        <f>'5 Profit and loss'!K5</f>
        <v>1467.1120912486924</v>
      </c>
      <c r="N11" s="18">
        <f>'5 Profit and loss'!L5</f>
        <v>1467.1120912486924</v>
      </c>
      <c r="O11" s="18">
        <f>'5 Profit and loss'!M5</f>
        <v>1467.1120912486924</v>
      </c>
      <c r="P11" s="18">
        <f>'5 Profit and loss'!N5</f>
        <v>1467.1120912486924</v>
      </c>
      <c r="Q11" s="18">
        <f>'5 Profit and loss'!O5</f>
        <v>1467.1120912486924</v>
      </c>
      <c r="R11" s="18">
        <f>'5 Profit and loss'!P5</f>
        <v>1467.1120912486924</v>
      </c>
      <c r="S11" s="18">
        <f>'5 Profit and loss'!Q5</f>
        <v>1467.1120912486924</v>
      </c>
      <c r="T11" s="18">
        <f>'5 Profit and loss'!R5</f>
        <v>1467.1120912486924</v>
      </c>
      <c r="U11" s="18">
        <f>'5 Profit and loss'!S5</f>
        <v>1467.1120912486924</v>
      </c>
      <c r="V11" s="18">
        <f>'5 Profit and loss'!T5</f>
        <v>1467.1120912486924</v>
      </c>
      <c r="W11" s="18">
        <f>'5 Profit and loss'!U5</f>
        <v>1467.1120912486924</v>
      </c>
      <c r="X11" s="18">
        <f>'5 Profit and loss'!V5</f>
        <v>1467.1120912486924</v>
      </c>
      <c r="Y11" s="18">
        <f>'5 Profit and loss'!W5</f>
        <v>1467.1120912486924</v>
      </c>
      <c r="Z11" s="11"/>
    </row>
    <row r="12" spans="1:25" ht="13.5">
      <c r="A12" s="2">
        <v>2.5</v>
      </c>
      <c r="B12" s="59">
        <v>2.5</v>
      </c>
      <c r="C12" s="59" t="s">
        <v>11</v>
      </c>
      <c r="D12" s="18"/>
      <c r="E12" s="18"/>
      <c r="F12" s="18">
        <f>'5 Profit and loss'!D10</f>
        <v>0</v>
      </c>
      <c r="G12" s="18">
        <f>'5 Profit and loss'!E10</f>
        <v>0</v>
      </c>
      <c r="H12" s="18">
        <f>'5 Profit and loss'!F10</f>
        <v>0</v>
      </c>
      <c r="I12" s="18">
        <f>'5 Profit and loss'!G10</f>
        <v>215.73916130649175</v>
      </c>
      <c r="J12" s="18">
        <f>'5 Profit and loss'!H10</f>
        <v>378.5025940097328</v>
      </c>
      <c r="K12" s="18">
        <f>'5 Profit and loss'!I10</f>
        <v>489.8347277703299</v>
      </c>
      <c r="L12" s="18">
        <f>'5 Profit and loss'!J10</f>
        <v>577.2408274783754</v>
      </c>
      <c r="M12" s="18">
        <f>'5 Profit and loss'!K10</f>
        <v>667.8725269276064</v>
      </c>
      <c r="N12" s="18">
        <f>'5 Profit and loss'!L10</f>
        <v>761.8488623606316</v>
      </c>
      <c r="O12" s="18">
        <f>'5 Profit and loss'!M10</f>
        <v>792.3097222022317</v>
      </c>
      <c r="P12" s="18">
        <f>'5 Profit and loss'!N10</f>
        <v>1005.8299027022314</v>
      </c>
      <c r="Q12" s="18">
        <f>'5 Profit and loss'!O10</f>
        <v>1005.8299027022314</v>
      </c>
      <c r="R12" s="18">
        <f>'5 Profit and loss'!P10</f>
        <v>1729.3178877022317</v>
      </c>
      <c r="S12" s="18">
        <f>'5 Profit and loss'!Q10</f>
        <v>1729.3178877022317</v>
      </c>
      <c r="T12" s="18">
        <f>'5 Profit and loss'!R10</f>
        <v>1729.3178877022317</v>
      </c>
      <c r="U12" s="18">
        <f>'5 Profit and loss'!S10</f>
        <v>1729.3178877022317</v>
      </c>
      <c r="V12" s="18">
        <f>'5 Profit and loss'!T10</f>
        <v>1729.3178877022317</v>
      </c>
      <c r="W12" s="18">
        <f>'5 Profit and loss'!U10</f>
        <v>1729.3178877022317</v>
      </c>
      <c r="X12" s="18">
        <f>'5 Profit and loss'!V10</f>
        <v>1729.3178877022317</v>
      </c>
      <c r="Y12" s="18">
        <f>'5 Profit and loss'!W10</f>
        <v>1729.3178877022317</v>
      </c>
    </row>
    <row r="13" spans="1:25" ht="13.5">
      <c r="A13" s="2">
        <v>3</v>
      </c>
      <c r="B13" s="59">
        <v>3</v>
      </c>
      <c r="C13" s="59" t="s">
        <v>10</v>
      </c>
      <c r="D13" s="18">
        <f aca="true" t="shared" si="2" ref="D13:Y13">D3-D7</f>
        <v>-22610.28</v>
      </c>
      <c r="E13" s="18">
        <f t="shared" si="2"/>
        <v>-22610.29</v>
      </c>
      <c r="F13" s="19">
        <f t="shared" si="2"/>
        <v>3822.3963024490467</v>
      </c>
      <c r="G13" s="19">
        <f t="shared" si="2"/>
        <v>5820.605378061309</v>
      </c>
      <c r="H13" s="18">
        <f t="shared" si="2"/>
        <v>5854.1953780613085</v>
      </c>
      <c r="I13" s="18">
        <f t="shared" si="2"/>
        <v>5638.4562167548165</v>
      </c>
      <c r="J13" s="18">
        <f t="shared" si="2"/>
        <v>5475.692784051576</v>
      </c>
      <c r="K13" s="18">
        <f t="shared" si="2"/>
        <v>5364.360650290979</v>
      </c>
      <c r="L13" s="18">
        <f t="shared" si="2"/>
        <v>5276.954550582934</v>
      </c>
      <c r="M13" s="18">
        <f t="shared" si="2"/>
        <v>5186.322851133703</v>
      </c>
      <c r="N13" s="18">
        <f t="shared" si="2"/>
        <v>5092.346515700676</v>
      </c>
      <c r="O13" s="18">
        <f t="shared" si="2"/>
        <v>5061.885655859076</v>
      </c>
      <c r="P13" s="18">
        <f t="shared" si="2"/>
        <v>4848.365475359076</v>
      </c>
      <c r="Q13" s="18">
        <f t="shared" si="2"/>
        <v>4848.365475359076</v>
      </c>
      <c r="R13" s="18">
        <f t="shared" si="2"/>
        <v>4124.877490359077</v>
      </c>
      <c r="S13" s="18">
        <f t="shared" si="2"/>
        <v>4124.877490359077</v>
      </c>
      <c r="T13" s="18">
        <f t="shared" si="2"/>
        <v>4124.877490359077</v>
      </c>
      <c r="U13" s="18">
        <f t="shared" si="2"/>
        <v>4124.877490359077</v>
      </c>
      <c r="V13" s="18">
        <f t="shared" si="2"/>
        <v>4124.877490359077</v>
      </c>
      <c r="W13" s="18">
        <f t="shared" si="2"/>
        <v>4124.877490359077</v>
      </c>
      <c r="X13" s="18">
        <f t="shared" si="2"/>
        <v>4124.877490359077</v>
      </c>
      <c r="Y13" s="18">
        <f t="shared" si="2"/>
        <v>6788.197490359076</v>
      </c>
    </row>
    <row r="14" spans="1:25" ht="13.5">
      <c r="A14" s="2"/>
      <c r="B14" s="66">
        <v>4</v>
      </c>
      <c r="C14" s="67" t="s">
        <v>12</v>
      </c>
      <c r="D14" s="20">
        <f>IRR(D13:Y13)</f>
        <v>0.08592457377477525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7" s="124" customFormat="1" ht="12.75">
      <c r="B15" s="125"/>
      <c r="C15" s="125"/>
      <c r="D15" s="126">
        <f>NPV(11%,D13:Y13)</f>
        <v>-6119.583190312201</v>
      </c>
      <c r="G15" s="127"/>
    </row>
    <row r="16" spans="2:25" s="128" customFormat="1" ht="12.75">
      <c r="B16" s="121" t="s">
        <v>156</v>
      </c>
      <c r="C16" s="129"/>
      <c r="D16" s="129"/>
      <c r="E16" s="129"/>
      <c r="F16" s="130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</row>
    <row r="17" spans="5:6" s="128" customFormat="1" ht="12.75">
      <c r="E17" s="16"/>
      <c r="F17" s="16"/>
    </row>
    <row r="18" spans="3:6" s="128" customFormat="1" ht="12.75">
      <c r="C18" s="128" t="s">
        <v>157</v>
      </c>
      <c r="D18" s="131">
        <v>0.11</v>
      </c>
      <c r="E18" s="16"/>
      <c r="F18" s="16"/>
    </row>
    <row r="19" spans="1:5" s="3" customFormat="1" ht="12.75">
      <c r="A19" s="2"/>
      <c r="E19" s="16"/>
    </row>
    <row r="20" spans="1:25" s="3" customFormat="1" ht="14.25" customHeight="1">
      <c r="A20" s="2"/>
      <c r="B20" s="132"/>
      <c r="C20" s="133" t="s">
        <v>158</v>
      </c>
      <c r="D20" s="132"/>
      <c r="E20" s="134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1:5" s="3" customFormat="1" ht="12.75">
      <c r="A21" s="2"/>
      <c r="E21" s="16"/>
    </row>
    <row r="22" spans="1:25" s="3" customFormat="1" ht="12.75">
      <c r="A22" s="2"/>
      <c r="C22" s="3" t="s">
        <v>159</v>
      </c>
      <c r="D22" s="135">
        <f>E22</f>
        <v>0</v>
      </c>
      <c r="E22" s="135">
        <v>0</v>
      </c>
      <c r="F22" s="135">
        <f>G22</f>
        <v>-10356.984</v>
      </c>
      <c r="G22" s="135">
        <f>-'2 Sale revenue and VAT'!C5</f>
        <v>-10356.984</v>
      </c>
      <c r="H22" s="135">
        <f>G22</f>
        <v>-10356.984</v>
      </c>
      <c r="I22" s="135">
        <f aca="true" t="shared" si="3" ref="I22:Y22">H22</f>
        <v>-10356.984</v>
      </c>
      <c r="J22" s="135">
        <f t="shared" si="3"/>
        <v>-10356.984</v>
      </c>
      <c r="K22" s="135">
        <f t="shared" si="3"/>
        <v>-10356.984</v>
      </c>
      <c r="L22" s="135">
        <f t="shared" si="3"/>
        <v>-10356.984</v>
      </c>
      <c r="M22" s="135">
        <f t="shared" si="3"/>
        <v>-10356.984</v>
      </c>
      <c r="N22" s="135">
        <f t="shared" si="3"/>
        <v>-10356.984</v>
      </c>
      <c r="O22" s="135">
        <f t="shared" si="3"/>
        <v>-10356.984</v>
      </c>
      <c r="P22" s="135">
        <f t="shared" si="3"/>
        <v>-10356.984</v>
      </c>
      <c r="Q22" s="135">
        <f t="shared" si="3"/>
        <v>-10356.984</v>
      </c>
      <c r="R22" s="135">
        <f t="shared" si="3"/>
        <v>-10356.984</v>
      </c>
      <c r="S22" s="135">
        <f t="shared" si="3"/>
        <v>-10356.984</v>
      </c>
      <c r="T22" s="135">
        <f t="shared" si="3"/>
        <v>-10356.984</v>
      </c>
      <c r="U22" s="135">
        <f t="shared" si="3"/>
        <v>-10356.984</v>
      </c>
      <c r="V22" s="135">
        <f t="shared" si="3"/>
        <v>-10356.984</v>
      </c>
      <c r="W22" s="135">
        <f t="shared" si="3"/>
        <v>-10356.984</v>
      </c>
      <c r="X22" s="135">
        <f t="shared" si="3"/>
        <v>-10356.984</v>
      </c>
      <c r="Y22" s="135">
        <f t="shared" si="3"/>
        <v>-10356.984</v>
      </c>
    </row>
    <row r="23" spans="1:25" s="3" customFormat="1" ht="12.75">
      <c r="A23" s="2"/>
      <c r="C23" s="3" t="s">
        <v>160</v>
      </c>
      <c r="D23" s="135">
        <f>-D22*'0 Major parameters'!$C$7</f>
        <v>0</v>
      </c>
      <c r="E23" s="135">
        <f>-E22*'0 Major parameters'!$C$7</f>
        <v>0</v>
      </c>
      <c r="F23" s="135">
        <v>0</v>
      </c>
      <c r="G23" s="135">
        <f>-G22*'0 Major parameters'!$C$7</f>
        <v>3417.80472</v>
      </c>
      <c r="H23" s="135">
        <f>-H22*'0 Major parameters'!$C$7</f>
        <v>3417.80472</v>
      </c>
      <c r="I23" s="135">
        <f>-I22*'0 Major parameters'!$C$7</f>
        <v>3417.80472</v>
      </c>
      <c r="J23" s="135">
        <f>-J22*'0 Major parameters'!$C$7</f>
        <v>3417.80472</v>
      </c>
      <c r="K23" s="135">
        <f>-K22*'0 Major parameters'!$C$7</f>
        <v>3417.80472</v>
      </c>
      <c r="L23" s="135">
        <f>-L22*'0 Major parameters'!$C$7</f>
        <v>3417.80472</v>
      </c>
      <c r="M23" s="135">
        <f>-M22*'0 Major parameters'!$C$7</f>
        <v>3417.80472</v>
      </c>
      <c r="N23" s="135">
        <f>-N22*'0 Major parameters'!$C$7</f>
        <v>3417.80472</v>
      </c>
      <c r="O23" s="135">
        <f>-O22*'0 Major parameters'!$C$7</f>
        <v>3417.80472</v>
      </c>
      <c r="P23" s="135">
        <f>-P22*'0 Major parameters'!$C$7</f>
        <v>3417.80472</v>
      </c>
      <c r="Q23" s="135">
        <f>-Q22*'0 Major parameters'!$C$7</f>
        <v>3417.80472</v>
      </c>
      <c r="R23" s="135">
        <f>-R22*'0 Major parameters'!$C$7</f>
        <v>3417.80472</v>
      </c>
      <c r="S23" s="135">
        <f>-S22*'0 Major parameters'!$C$7</f>
        <v>3417.80472</v>
      </c>
      <c r="T23" s="135">
        <f>-T22*'0 Major parameters'!$C$7</f>
        <v>3417.80472</v>
      </c>
      <c r="U23" s="135">
        <f>-U22*'0 Major parameters'!$C$7</f>
        <v>3417.80472</v>
      </c>
      <c r="V23" s="135">
        <f>-V22*'0 Major parameters'!$C$7</f>
        <v>3417.80472</v>
      </c>
      <c r="W23" s="135">
        <f>-W22*'0 Major parameters'!$C$7</f>
        <v>3417.80472</v>
      </c>
      <c r="X23" s="135">
        <f>-X22*'0 Major parameters'!$C$7</f>
        <v>3417.80472</v>
      </c>
      <c r="Y23" s="135">
        <f>-Y22*'0 Major parameters'!$C$7</f>
        <v>3417.80472</v>
      </c>
    </row>
    <row r="24" spans="1:25" s="3" customFormat="1" ht="12.75">
      <c r="A24" s="2"/>
      <c r="C24" s="3" t="s">
        <v>161</v>
      </c>
      <c r="D24" s="136">
        <f>SUM(D22:D23)</f>
        <v>0</v>
      </c>
      <c r="E24" s="136">
        <f>SUM(E22:E23)</f>
        <v>0</v>
      </c>
      <c r="F24" s="136">
        <f>SUM(F22:F23)</f>
        <v>-10356.984</v>
      </c>
      <c r="G24" s="136">
        <f aca="true" t="shared" si="4" ref="G24:Y24">SUM(G22:G23)</f>
        <v>-6939.17928</v>
      </c>
      <c r="H24" s="136">
        <f t="shared" si="4"/>
        <v>-6939.17928</v>
      </c>
      <c r="I24" s="136">
        <f t="shared" si="4"/>
        <v>-6939.17928</v>
      </c>
      <c r="J24" s="136">
        <f t="shared" si="4"/>
        <v>-6939.17928</v>
      </c>
      <c r="K24" s="136">
        <f t="shared" si="4"/>
        <v>-6939.17928</v>
      </c>
      <c r="L24" s="136">
        <f t="shared" si="4"/>
        <v>-6939.17928</v>
      </c>
      <c r="M24" s="136">
        <f t="shared" si="4"/>
        <v>-6939.17928</v>
      </c>
      <c r="N24" s="136">
        <f t="shared" si="4"/>
        <v>-6939.17928</v>
      </c>
      <c r="O24" s="136">
        <f t="shared" si="4"/>
        <v>-6939.17928</v>
      </c>
      <c r="P24" s="136">
        <f t="shared" si="4"/>
        <v>-6939.17928</v>
      </c>
      <c r="Q24" s="136">
        <f t="shared" si="4"/>
        <v>-6939.17928</v>
      </c>
      <c r="R24" s="136">
        <f t="shared" si="4"/>
        <v>-6939.17928</v>
      </c>
      <c r="S24" s="136">
        <f t="shared" si="4"/>
        <v>-6939.17928</v>
      </c>
      <c r="T24" s="136">
        <f t="shared" si="4"/>
        <v>-6939.17928</v>
      </c>
      <c r="U24" s="136">
        <f t="shared" si="4"/>
        <v>-6939.17928</v>
      </c>
      <c r="V24" s="136">
        <f t="shared" si="4"/>
        <v>-6939.17928</v>
      </c>
      <c r="W24" s="136">
        <f t="shared" si="4"/>
        <v>-6939.17928</v>
      </c>
      <c r="X24" s="136">
        <f t="shared" si="4"/>
        <v>-6939.17928</v>
      </c>
      <c r="Y24" s="136">
        <f t="shared" si="4"/>
        <v>-6939.17928</v>
      </c>
    </row>
    <row r="25" spans="1:25" s="3" customFormat="1" ht="12.75">
      <c r="A25" s="2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9" s="3" customFormat="1" ht="12.75">
      <c r="A26" s="2"/>
      <c r="C26" s="3" t="s">
        <v>162</v>
      </c>
      <c r="D26" s="135">
        <f>NPV(D18,D24:Y24)</f>
        <v>-47348.48212257525</v>
      </c>
      <c r="E26" s="3" t="s">
        <v>163</v>
      </c>
      <c r="F26" s="138">
        <f>D26-D35</f>
        <v>6119.583190312209</v>
      </c>
      <c r="H26" s="3" t="s">
        <v>164</v>
      </c>
      <c r="I26" s="139">
        <f>D15+F26</f>
        <v>8.185452315956354E-12</v>
      </c>
    </row>
    <row r="27" s="3" customFormat="1" ht="12.75">
      <c r="A27" s="2"/>
    </row>
    <row r="28" spans="2:25" s="128" customFormat="1" ht="12.75">
      <c r="B28" s="129"/>
      <c r="C28" s="133" t="s">
        <v>165</v>
      </c>
      <c r="D28" s="129"/>
      <c r="E28" s="140"/>
      <c r="F28" s="134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</row>
    <row r="29" spans="5:6" s="128" customFormat="1" ht="12.75">
      <c r="E29" s="16"/>
      <c r="F29" s="16"/>
    </row>
    <row r="30" spans="3:25" s="128" customFormat="1" ht="12.75">
      <c r="C30" s="128" t="s">
        <v>166</v>
      </c>
      <c r="D30" s="135">
        <f>D13</f>
        <v>-22610.28</v>
      </c>
      <c r="E30" s="135">
        <f aca="true" t="shared" si="5" ref="E30:Y30">E13</f>
        <v>-22610.29</v>
      </c>
      <c r="F30" s="135">
        <f t="shared" si="5"/>
        <v>3822.3963024490467</v>
      </c>
      <c r="G30" s="135">
        <f t="shared" si="5"/>
        <v>5820.605378061309</v>
      </c>
      <c r="H30" s="135">
        <f t="shared" si="5"/>
        <v>5854.1953780613085</v>
      </c>
      <c r="I30" s="135">
        <f t="shared" si="5"/>
        <v>5638.4562167548165</v>
      </c>
      <c r="J30" s="135">
        <f t="shared" si="5"/>
        <v>5475.692784051576</v>
      </c>
      <c r="K30" s="135">
        <f t="shared" si="5"/>
        <v>5364.360650290979</v>
      </c>
      <c r="L30" s="135">
        <f t="shared" si="5"/>
        <v>5276.954550582934</v>
      </c>
      <c r="M30" s="135">
        <f t="shared" si="5"/>
        <v>5186.322851133703</v>
      </c>
      <c r="N30" s="135">
        <f t="shared" si="5"/>
        <v>5092.346515700676</v>
      </c>
      <c r="O30" s="135">
        <f t="shared" si="5"/>
        <v>5061.885655859076</v>
      </c>
      <c r="P30" s="135">
        <f t="shared" si="5"/>
        <v>4848.365475359076</v>
      </c>
      <c r="Q30" s="135">
        <f t="shared" si="5"/>
        <v>4848.365475359076</v>
      </c>
      <c r="R30" s="135">
        <f t="shared" si="5"/>
        <v>4124.877490359077</v>
      </c>
      <c r="S30" s="135">
        <f t="shared" si="5"/>
        <v>4124.877490359077</v>
      </c>
      <c r="T30" s="135">
        <f t="shared" si="5"/>
        <v>4124.877490359077</v>
      </c>
      <c r="U30" s="135">
        <f t="shared" si="5"/>
        <v>4124.877490359077</v>
      </c>
      <c r="V30" s="135">
        <f t="shared" si="5"/>
        <v>4124.877490359077</v>
      </c>
      <c r="W30" s="135">
        <f t="shared" si="5"/>
        <v>4124.877490359077</v>
      </c>
      <c r="X30" s="135">
        <f t="shared" si="5"/>
        <v>4124.877490359077</v>
      </c>
      <c r="Y30" s="135">
        <f t="shared" si="5"/>
        <v>6788.197490359076</v>
      </c>
    </row>
    <row r="31" spans="3:25" s="128" customFormat="1" ht="12.75">
      <c r="C31" s="141" t="s">
        <v>167</v>
      </c>
      <c r="D31" s="135"/>
      <c r="E31" s="142"/>
      <c r="F31" s="142">
        <f>G31</f>
        <v>-10356.984</v>
      </c>
      <c r="G31" s="142">
        <f>-'2 Sale revenue and VAT'!$C$5</f>
        <v>-10356.984</v>
      </c>
      <c r="H31" s="142">
        <f>G31</f>
        <v>-10356.984</v>
      </c>
      <c r="I31" s="142">
        <f aca="true" t="shared" si="6" ref="I31:Y31">H31</f>
        <v>-10356.984</v>
      </c>
      <c r="J31" s="142">
        <f t="shared" si="6"/>
        <v>-10356.984</v>
      </c>
      <c r="K31" s="142">
        <f t="shared" si="6"/>
        <v>-10356.984</v>
      </c>
      <c r="L31" s="142">
        <f t="shared" si="6"/>
        <v>-10356.984</v>
      </c>
      <c r="M31" s="142">
        <f t="shared" si="6"/>
        <v>-10356.984</v>
      </c>
      <c r="N31" s="142">
        <f t="shared" si="6"/>
        <v>-10356.984</v>
      </c>
      <c r="O31" s="142">
        <f t="shared" si="6"/>
        <v>-10356.984</v>
      </c>
      <c r="P31" s="142">
        <f t="shared" si="6"/>
        <v>-10356.984</v>
      </c>
      <c r="Q31" s="142">
        <f t="shared" si="6"/>
        <v>-10356.984</v>
      </c>
      <c r="R31" s="142">
        <f t="shared" si="6"/>
        <v>-10356.984</v>
      </c>
      <c r="S31" s="142">
        <f t="shared" si="6"/>
        <v>-10356.984</v>
      </c>
      <c r="T31" s="142">
        <f t="shared" si="6"/>
        <v>-10356.984</v>
      </c>
      <c r="U31" s="142">
        <f t="shared" si="6"/>
        <v>-10356.984</v>
      </c>
      <c r="V31" s="142">
        <f t="shared" si="6"/>
        <v>-10356.984</v>
      </c>
      <c r="W31" s="142">
        <f t="shared" si="6"/>
        <v>-10356.984</v>
      </c>
      <c r="X31" s="142">
        <f t="shared" si="6"/>
        <v>-10356.984</v>
      </c>
      <c r="Y31" s="142">
        <f t="shared" si="6"/>
        <v>-10356.984</v>
      </c>
    </row>
    <row r="32" spans="2:25" s="71" customFormat="1" ht="12.75">
      <c r="B32" s="69"/>
      <c r="C32" s="60" t="s">
        <v>168</v>
      </c>
      <c r="D32" s="135"/>
      <c r="E32" s="143"/>
      <c r="F32" s="142">
        <v>0</v>
      </c>
      <c r="G32" s="142">
        <f>-SUM(G31:G31)*'0 Major parameters'!$C$7</f>
        <v>3417.80472</v>
      </c>
      <c r="H32" s="142">
        <f>-SUM(H31:H31)*'0 Major parameters'!$C$7</f>
        <v>3417.80472</v>
      </c>
      <c r="I32" s="142">
        <f>-SUM(I31:I31)*'0 Major parameters'!$C$7</f>
        <v>3417.80472</v>
      </c>
      <c r="J32" s="142">
        <f>-SUM(J31:J31)*'0 Major parameters'!$C$7</f>
        <v>3417.80472</v>
      </c>
      <c r="K32" s="142">
        <f>-SUM(K31:K31)*'0 Major parameters'!$C$7</f>
        <v>3417.80472</v>
      </c>
      <c r="L32" s="142">
        <f>-SUM(L31:L31)*'0 Major parameters'!$C$7</f>
        <v>3417.80472</v>
      </c>
      <c r="M32" s="142">
        <f>-SUM(M31:M31)*'0 Major parameters'!$C$7</f>
        <v>3417.80472</v>
      </c>
      <c r="N32" s="142">
        <f>-SUM(N31:N31)*'0 Major parameters'!$C$7</f>
        <v>3417.80472</v>
      </c>
      <c r="O32" s="142">
        <f>-SUM(O31:O31)*'0 Major parameters'!$C$7</f>
        <v>3417.80472</v>
      </c>
      <c r="P32" s="142">
        <f>-SUM(P31:P31)*'0 Major parameters'!$C$7</f>
        <v>3417.80472</v>
      </c>
      <c r="Q32" s="142">
        <f>-SUM(Q31:Q31)*'0 Major parameters'!$C$7</f>
        <v>3417.80472</v>
      </c>
      <c r="R32" s="142">
        <f>-SUM(R31:R31)*'0 Major parameters'!$C$7</f>
        <v>3417.80472</v>
      </c>
      <c r="S32" s="142">
        <f>-SUM(S31:S31)*'0 Major parameters'!$C$7</f>
        <v>3417.80472</v>
      </c>
      <c r="T32" s="142">
        <f>-SUM(T31:T31)*'0 Major parameters'!$C$7</f>
        <v>3417.80472</v>
      </c>
      <c r="U32" s="142">
        <f>-SUM(U31:U31)*'0 Major parameters'!$C$7</f>
        <v>3417.80472</v>
      </c>
      <c r="V32" s="142">
        <f>-SUM(V31:V31)*'0 Major parameters'!$C$7</f>
        <v>3417.80472</v>
      </c>
      <c r="W32" s="142">
        <f>-SUM(W31:W31)*'0 Major parameters'!$C$7</f>
        <v>3417.80472</v>
      </c>
      <c r="X32" s="142">
        <f>-SUM(X31:X31)*'0 Major parameters'!$C$7</f>
        <v>3417.80472</v>
      </c>
      <c r="Y32" s="142">
        <f>-SUM(Y31:Y31)*'0 Major parameters'!$C$7</f>
        <v>3417.80472</v>
      </c>
    </row>
    <row r="33" spans="2:25" s="71" customFormat="1" ht="12.75">
      <c r="B33" s="69"/>
      <c r="C33" s="144" t="s">
        <v>161</v>
      </c>
      <c r="D33" s="145">
        <f aca="true" t="shared" si="7" ref="D33:Y33">SUM(D30:D32)</f>
        <v>-22610.28</v>
      </c>
      <c r="E33" s="145">
        <f t="shared" si="7"/>
        <v>-22610.29</v>
      </c>
      <c r="F33" s="145">
        <f t="shared" si="7"/>
        <v>-6534.587697550954</v>
      </c>
      <c r="G33" s="145">
        <f t="shared" si="7"/>
        <v>-1118.573901938691</v>
      </c>
      <c r="H33" s="145">
        <f t="shared" si="7"/>
        <v>-1084.9839019386918</v>
      </c>
      <c r="I33" s="145">
        <f t="shared" si="7"/>
        <v>-1300.7230632451838</v>
      </c>
      <c r="J33" s="145">
        <f t="shared" si="7"/>
        <v>-1463.486495948424</v>
      </c>
      <c r="K33" s="145">
        <f t="shared" si="7"/>
        <v>-1574.8186297090215</v>
      </c>
      <c r="L33" s="145">
        <f t="shared" si="7"/>
        <v>-1662.2247294170666</v>
      </c>
      <c r="M33" s="145">
        <f t="shared" si="7"/>
        <v>-1752.8564288662974</v>
      </c>
      <c r="N33" s="145">
        <f t="shared" si="7"/>
        <v>-1846.8327642993245</v>
      </c>
      <c r="O33" s="145">
        <f t="shared" si="7"/>
        <v>-1877.2936241409243</v>
      </c>
      <c r="P33" s="145">
        <f t="shared" si="7"/>
        <v>-2090.813804640924</v>
      </c>
      <c r="Q33" s="145">
        <f t="shared" si="7"/>
        <v>-2090.813804640924</v>
      </c>
      <c r="R33" s="145">
        <f t="shared" si="7"/>
        <v>-2814.3017896409237</v>
      </c>
      <c r="S33" s="145">
        <f t="shared" si="7"/>
        <v>-2814.3017896409237</v>
      </c>
      <c r="T33" s="145">
        <f t="shared" si="7"/>
        <v>-2814.3017896409237</v>
      </c>
      <c r="U33" s="145">
        <f t="shared" si="7"/>
        <v>-2814.3017896409237</v>
      </c>
      <c r="V33" s="145">
        <f t="shared" si="7"/>
        <v>-2814.3017896409237</v>
      </c>
      <c r="W33" s="145">
        <f t="shared" si="7"/>
        <v>-2814.3017896409237</v>
      </c>
      <c r="X33" s="145">
        <f t="shared" si="7"/>
        <v>-2814.3017896409237</v>
      </c>
      <c r="Y33" s="145">
        <f t="shared" si="7"/>
        <v>-150.98178964092403</v>
      </c>
    </row>
    <row r="34" spans="2:25" s="71" customFormat="1" ht="15.75" customHeight="1">
      <c r="B34" s="69"/>
      <c r="C34" s="144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</row>
    <row r="35" spans="2:25" s="71" customFormat="1" ht="12.75">
      <c r="B35" s="69"/>
      <c r="C35" s="3" t="s">
        <v>162</v>
      </c>
      <c r="D35" s="135">
        <f>NPV(D18,D33:Y33)</f>
        <v>-53468.06531288746</v>
      </c>
      <c r="E35" s="143"/>
      <c r="F35" s="143"/>
      <c r="G35" s="146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</row>
    <row r="36" spans="2:25" s="71" customFormat="1" ht="12.75">
      <c r="B36" s="69"/>
      <c r="C36" s="144"/>
      <c r="D36" s="70"/>
      <c r="E36" s="70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2:15" s="71" customFormat="1" ht="12.75">
      <c r="B37" s="147"/>
      <c r="C37" s="71" t="s">
        <v>169</v>
      </c>
      <c r="F37" s="71">
        <v>73556</v>
      </c>
      <c r="G37" s="71">
        <v>176464</v>
      </c>
      <c r="H37" s="71">
        <v>176464</v>
      </c>
      <c r="I37" s="71">
        <v>176464</v>
      </c>
      <c r="J37" s="71">
        <v>176464</v>
      </c>
      <c r="K37" s="71">
        <v>176464</v>
      </c>
      <c r="L37" s="71">
        <v>176464</v>
      </c>
      <c r="M37" s="71">
        <v>176464</v>
      </c>
      <c r="N37" s="71">
        <v>176464</v>
      </c>
      <c r="O37" s="71">
        <v>102938</v>
      </c>
    </row>
    <row r="38" spans="2:15" s="71" customFormat="1" ht="12.75">
      <c r="B38" s="147"/>
      <c r="C38" s="71" t="s">
        <v>170</v>
      </c>
      <c r="F38" s="135">
        <v>9.8</v>
      </c>
      <c r="G38" s="135">
        <f>F38</f>
        <v>9.8</v>
      </c>
      <c r="H38" s="135">
        <f aca="true" t="shared" si="8" ref="H38:O38">G38</f>
        <v>9.8</v>
      </c>
      <c r="I38" s="135">
        <f t="shared" si="8"/>
        <v>9.8</v>
      </c>
      <c r="J38" s="135">
        <f t="shared" si="8"/>
        <v>9.8</v>
      </c>
      <c r="K38" s="135">
        <f t="shared" si="8"/>
        <v>9.8</v>
      </c>
      <c r="L38" s="135">
        <f t="shared" si="8"/>
        <v>9.8</v>
      </c>
      <c r="M38" s="135">
        <f t="shared" si="8"/>
        <v>9.8</v>
      </c>
      <c r="N38" s="135">
        <f t="shared" si="8"/>
        <v>9.8</v>
      </c>
      <c r="O38" s="135">
        <f t="shared" si="8"/>
        <v>9.8</v>
      </c>
    </row>
    <row r="39" spans="2:15" s="71" customFormat="1" ht="12.75">
      <c r="B39" s="147"/>
      <c r="C39" s="71" t="s">
        <v>171</v>
      </c>
      <c r="F39" s="135">
        <v>0.02</v>
      </c>
      <c r="G39" s="135">
        <f>F39</f>
        <v>0.02</v>
      </c>
      <c r="H39" s="135">
        <f aca="true" t="shared" si="9" ref="H39:O39">G39</f>
        <v>0.02</v>
      </c>
      <c r="I39" s="135">
        <f t="shared" si="9"/>
        <v>0.02</v>
      </c>
      <c r="J39" s="135">
        <f t="shared" si="9"/>
        <v>0.02</v>
      </c>
      <c r="K39" s="135">
        <f t="shared" si="9"/>
        <v>0.02</v>
      </c>
      <c r="L39" s="135">
        <f t="shared" si="9"/>
        <v>0.02</v>
      </c>
      <c r="M39" s="135">
        <f t="shared" si="9"/>
        <v>0.02</v>
      </c>
      <c r="N39" s="135">
        <f t="shared" si="9"/>
        <v>0.02</v>
      </c>
      <c r="O39" s="135">
        <f t="shared" si="9"/>
        <v>0.02</v>
      </c>
    </row>
    <row r="40" spans="2:25" s="71" customFormat="1" ht="12.75">
      <c r="B40" s="69"/>
      <c r="C40" s="144" t="s">
        <v>172</v>
      </c>
      <c r="F40" s="135">
        <v>10.77402</v>
      </c>
      <c r="G40" s="135">
        <f>F40</f>
        <v>10.77402</v>
      </c>
      <c r="H40" s="135">
        <f aca="true" t="shared" si="10" ref="H40:O40">G40</f>
        <v>10.77402</v>
      </c>
      <c r="I40" s="135">
        <f t="shared" si="10"/>
        <v>10.77402</v>
      </c>
      <c r="J40" s="135">
        <f t="shared" si="10"/>
        <v>10.77402</v>
      </c>
      <c r="K40" s="135">
        <f t="shared" si="10"/>
        <v>10.77402</v>
      </c>
      <c r="L40" s="135">
        <f t="shared" si="10"/>
        <v>10.77402</v>
      </c>
      <c r="M40" s="135">
        <f t="shared" si="10"/>
        <v>10.77402</v>
      </c>
      <c r="N40" s="135">
        <f t="shared" si="10"/>
        <v>10.77402</v>
      </c>
      <c r="O40" s="135">
        <f t="shared" si="10"/>
        <v>10.77402</v>
      </c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3:15" s="128" customFormat="1" ht="12.75">
      <c r="C41" s="71" t="s">
        <v>173</v>
      </c>
      <c r="D41" s="149"/>
      <c r="E41" s="149"/>
      <c r="F41" s="136">
        <f>F37*F38*(1-F39)*F40/10000</f>
        <v>761.111060041248</v>
      </c>
      <c r="G41" s="136">
        <f aca="true" t="shared" si="11" ref="G41:O41">G37*G38*(1-G39)*G40/10000</f>
        <v>1825.9380893349123</v>
      </c>
      <c r="H41" s="136">
        <f t="shared" si="11"/>
        <v>1825.9380893349123</v>
      </c>
      <c r="I41" s="136">
        <f t="shared" si="11"/>
        <v>1825.9380893349123</v>
      </c>
      <c r="J41" s="136">
        <f t="shared" si="11"/>
        <v>1825.9380893349123</v>
      </c>
      <c r="K41" s="136">
        <f t="shared" si="11"/>
        <v>1825.9380893349123</v>
      </c>
      <c r="L41" s="136">
        <f t="shared" si="11"/>
        <v>1825.9380893349123</v>
      </c>
      <c r="M41" s="136">
        <f t="shared" si="11"/>
        <v>1825.9380893349123</v>
      </c>
      <c r="N41" s="136">
        <f t="shared" si="11"/>
        <v>1825.9380893349123</v>
      </c>
      <c r="O41" s="136">
        <f t="shared" si="11"/>
        <v>1065.137450357904</v>
      </c>
    </row>
    <row r="42" s="1" customFormat="1" ht="12.75"/>
    <row r="43" spans="3:25" s="1" customFormat="1" ht="12.75">
      <c r="C43" s="71" t="s">
        <v>161</v>
      </c>
      <c r="D43" s="150">
        <f>D33+D41</f>
        <v>-22610.28</v>
      </c>
      <c r="E43" s="150">
        <f aca="true" t="shared" si="12" ref="E43:Y43">E33+E41</f>
        <v>-22610.29</v>
      </c>
      <c r="F43" s="150">
        <f t="shared" si="12"/>
        <v>-5773.476637509706</v>
      </c>
      <c r="G43" s="150">
        <f t="shared" si="12"/>
        <v>707.3641873962213</v>
      </c>
      <c r="H43" s="150">
        <f t="shared" si="12"/>
        <v>740.9541873962205</v>
      </c>
      <c r="I43" s="150">
        <f t="shared" si="12"/>
        <v>525.2150260897286</v>
      </c>
      <c r="J43" s="150">
        <f t="shared" si="12"/>
        <v>362.4515933864884</v>
      </c>
      <c r="K43" s="150">
        <f t="shared" si="12"/>
        <v>251.11945962589084</v>
      </c>
      <c r="L43" s="150">
        <f t="shared" si="12"/>
        <v>163.71335991784576</v>
      </c>
      <c r="M43" s="150">
        <f t="shared" si="12"/>
        <v>73.08166046861493</v>
      </c>
      <c r="N43" s="150">
        <f t="shared" si="12"/>
        <v>-20.89467496441216</v>
      </c>
      <c r="O43" s="150">
        <f t="shared" si="12"/>
        <v>-812.1561737830202</v>
      </c>
      <c r="P43" s="150">
        <f t="shared" si="12"/>
        <v>-2090.813804640924</v>
      </c>
      <c r="Q43" s="150">
        <f t="shared" si="12"/>
        <v>-2090.813804640924</v>
      </c>
      <c r="R43" s="150">
        <f t="shared" si="12"/>
        <v>-2814.3017896409237</v>
      </c>
      <c r="S43" s="150">
        <f t="shared" si="12"/>
        <v>-2814.3017896409237</v>
      </c>
      <c r="T43" s="150">
        <f t="shared" si="12"/>
        <v>-2814.3017896409237</v>
      </c>
      <c r="U43" s="150">
        <f t="shared" si="12"/>
        <v>-2814.3017896409237</v>
      </c>
      <c r="V43" s="150">
        <f t="shared" si="12"/>
        <v>-2814.3017896409237</v>
      </c>
      <c r="W43" s="150">
        <f t="shared" si="12"/>
        <v>-2814.3017896409237</v>
      </c>
      <c r="X43" s="150">
        <f t="shared" si="12"/>
        <v>-2814.3017896409237</v>
      </c>
      <c r="Y43" s="150">
        <f t="shared" si="12"/>
        <v>-150.98178964092403</v>
      </c>
    </row>
    <row r="44" s="1" customFormat="1" ht="12.75"/>
    <row r="45" spans="3:4" s="1" customFormat="1" ht="12.75">
      <c r="C45" s="1" t="s">
        <v>162</v>
      </c>
      <c r="D45" s="135">
        <f>NPV(D18,D43:Y43)</f>
        <v>-45736.446743299355</v>
      </c>
    </row>
  </sheetData>
  <sheetProtection/>
  <mergeCells count="2">
    <mergeCell ref="D2:E2"/>
    <mergeCell ref="B1:C1"/>
  </mergeCells>
  <printOptions/>
  <pageMargins left="0.7" right="0.7" top="0.75" bottom="0.75" header="0.3" footer="0.3"/>
  <pageSetup horizontalDpi="96" verticalDpi="96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I29" sqref="I29"/>
    </sheetView>
  </sheetViews>
  <sheetFormatPr defaultColWidth="9.00390625" defaultRowHeight="13.5"/>
  <cols>
    <col min="1" max="1" width="31.00390625" style="5" customWidth="1"/>
    <col min="2" max="16384" width="8.875" style="5" customWidth="1"/>
  </cols>
  <sheetData>
    <row r="1" spans="1:6" ht="15">
      <c r="A1" s="112" t="s">
        <v>13</v>
      </c>
      <c r="B1" s="113">
        <v>-0.1</v>
      </c>
      <c r="C1" s="113">
        <v>-0.05</v>
      </c>
      <c r="D1" s="113">
        <v>0</v>
      </c>
      <c r="E1" s="113">
        <v>0.05</v>
      </c>
      <c r="F1" s="113">
        <v>0.1</v>
      </c>
    </row>
    <row r="2" spans="1:6" ht="15">
      <c r="A2" s="8" t="s">
        <v>147</v>
      </c>
      <c r="B2" s="114">
        <f aca="true" t="shared" si="0" ref="B2:F4">B30</f>
        <v>0.09662941808231082</v>
      </c>
      <c r="C2" s="114">
        <f t="shared" si="0"/>
        <v>0.09104884471339507</v>
      </c>
      <c r="D2" s="114">
        <f t="shared" si="0"/>
        <v>0.08592457377477525</v>
      </c>
      <c r="E2" s="114">
        <f t="shared" si="0"/>
        <v>0.08115001886570003</v>
      </c>
      <c r="F2" s="114">
        <f t="shared" si="0"/>
        <v>0.07666885087780628</v>
      </c>
    </row>
    <row r="3" spans="1:6" ht="15">
      <c r="A3" s="112" t="s">
        <v>14</v>
      </c>
      <c r="B3" s="114">
        <f t="shared" si="0"/>
        <v>0.09143238721594008</v>
      </c>
      <c r="C3" s="114">
        <f t="shared" si="0"/>
        <v>0.08869429032546218</v>
      </c>
      <c r="D3" s="114">
        <f t="shared" si="0"/>
        <v>0.08592457377477525</v>
      </c>
      <c r="E3" s="114">
        <f t="shared" si="0"/>
        <v>0.0831146152769125</v>
      </c>
      <c r="F3" s="114">
        <f t="shared" si="0"/>
        <v>0.08025267270566168</v>
      </c>
    </row>
    <row r="4" spans="1:6" ht="15">
      <c r="A4" s="38" t="s">
        <v>146</v>
      </c>
      <c r="B4" s="114">
        <f t="shared" si="0"/>
        <v>0.07385153435710054</v>
      </c>
      <c r="C4" s="114">
        <f t="shared" si="0"/>
        <v>0.07999769677796446</v>
      </c>
      <c r="D4" s="114">
        <f t="shared" si="0"/>
        <v>0.08592457377477525</v>
      </c>
      <c r="E4" s="114">
        <f t="shared" si="0"/>
        <v>0.0916738320465621</v>
      </c>
      <c r="F4" s="114">
        <f t="shared" si="0"/>
        <v>0.09730938211941301</v>
      </c>
    </row>
    <row r="23" ht="15">
      <c r="A23" s="119" t="s">
        <v>13</v>
      </c>
    </row>
    <row r="24" spans="1:4" ht="15">
      <c r="A24" s="119" t="s">
        <v>147</v>
      </c>
      <c r="B24" s="116">
        <v>1</v>
      </c>
      <c r="D24" s="5">
        <f>1-B24</f>
        <v>0</v>
      </c>
    </row>
    <row r="25" spans="1:4" ht="15">
      <c r="A25" s="119" t="s">
        <v>14</v>
      </c>
      <c r="B25" s="5">
        <v>1</v>
      </c>
      <c r="D25" s="5">
        <f>1-B25</f>
        <v>0</v>
      </c>
    </row>
    <row r="26" spans="1:4" ht="15">
      <c r="A26" s="120" t="s">
        <v>146</v>
      </c>
      <c r="B26" s="5">
        <v>1</v>
      </c>
      <c r="D26" s="5">
        <f>1-B26</f>
        <v>0</v>
      </c>
    </row>
    <row r="29" spans="1:6" ht="15">
      <c r="A29" s="8" t="s">
        <v>13</v>
      </c>
      <c r="B29" s="37">
        <v>-0.1</v>
      </c>
      <c r="C29" s="37">
        <v>-0.05</v>
      </c>
      <c r="D29" s="37">
        <v>0</v>
      </c>
      <c r="E29" s="37">
        <v>0.05</v>
      </c>
      <c r="F29" s="37">
        <v>0.1</v>
      </c>
    </row>
    <row r="30" spans="1:6" ht="15">
      <c r="A30" s="8" t="s">
        <v>147</v>
      </c>
      <c r="B30" s="17">
        <v>0.09662941808231082</v>
      </c>
      <c r="C30" s="17">
        <v>0.09104884471339507</v>
      </c>
      <c r="D30" s="17">
        <f>'9 cash flow(total investment)'!D14</f>
        <v>0.08592457377477525</v>
      </c>
      <c r="E30" s="17">
        <v>0.08115001886570003</v>
      </c>
      <c r="F30" s="17">
        <v>0.07666885087780628</v>
      </c>
    </row>
    <row r="31" spans="1:6" ht="15">
      <c r="A31" s="8" t="s">
        <v>14</v>
      </c>
      <c r="B31" s="17">
        <v>0.09143238721594008</v>
      </c>
      <c r="C31" s="17">
        <v>0.08869429032546218</v>
      </c>
      <c r="D31" s="17">
        <f>D30</f>
        <v>0.08592457377477525</v>
      </c>
      <c r="E31" s="17">
        <v>0.0831146152769125</v>
      </c>
      <c r="F31" s="17">
        <v>0.08025267270566168</v>
      </c>
    </row>
    <row r="32" spans="1:6" ht="15">
      <c r="A32" s="38" t="s">
        <v>146</v>
      </c>
      <c r="B32" s="17">
        <v>0.07385153435710054</v>
      </c>
      <c r="C32" s="17">
        <v>0.07999769677796446</v>
      </c>
      <c r="D32" s="39">
        <f>D30</f>
        <v>0.08592457377477525</v>
      </c>
      <c r="E32" s="39">
        <v>0.0916738320465621</v>
      </c>
      <c r="F32" s="39">
        <v>0.09730938211941301</v>
      </c>
    </row>
    <row r="34" spans="1:4" ht="15">
      <c r="A34" s="38" t="s">
        <v>149</v>
      </c>
      <c r="B34" s="122" t="s">
        <v>150</v>
      </c>
      <c r="C34" s="122" t="s">
        <v>151</v>
      </c>
      <c r="D34" s="122" t="s">
        <v>152</v>
      </c>
    </row>
    <row r="35" spans="1:4" ht="15">
      <c r="A35" s="38" t="s">
        <v>153</v>
      </c>
      <c r="B35" s="123">
        <v>0.0859</v>
      </c>
      <c r="C35" s="123">
        <v>-0.205</v>
      </c>
      <c r="D35" s="123">
        <v>0.11</v>
      </c>
    </row>
    <row r="36" spans="1:4" ht="15">
      <c r="A36" s="38" t="s">
        <v>154</v>
      </c>
      <c r="B36" s="123">
        <v>0.0859</v>
      </c>
      <c r="C36" s="123">
        <v>-0.455</v>
      </c>
      <c r="D36" s="123">
        <v>0.11</v>
      </c>
    </row>
    <row r="37" spans="1:4" ht="15">
      <c r="A37" s="38" t="s">
        <v>155</v>
      </c>
      <c r="B37" s="123">
        <v>0.0859</v>
      </c>
      <c r="C37" s="123">
        <v>0.217</v>
      </c>
      <c r="D37" s="123">
        <v>0.11</v>
      </c>
    </row>
  </sheetData>
  <sheetProtection/>
  <printOptions/>
  <pageMargins left="0.7" right="0.7" top="0.75" bottom="0.75" header="0.3" footer="0.3"/>
  <pageSetup horizontalDpi="96" verticalDpi="96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B1">
      <selection activeCell="L5" sqref="L5"/>
    </sheetView>
  </sheetViews>
  <sheetFormatPr defaultColWidth="9.00390625" defaultRowHeight="13.5"/>
  <cols>
    <col min="1" max="16384" width="9.00390625" style="153" customWidth="1"/>
  </cols>
  <sheetData>
    <row r="1" spans="1:12" ht="13.5">
      <c r="A1" s="151" t="s">
        <v>175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3" spans="1:12" ht="13.5">
      <c r="A3" s="153" t="s">
        <v>176</v>
      </c>
      <c r="E3" s="154">
        <f>'9 cash flow(total investment)'!D14</f>
        <v>0.08592457377477525</v>
      </c>
      <c r="G3" s="155">
        <v>1</v>
      </c>
      <c r="I3" s="153" t="s">
        <v>177</v>
      </c>
      <c r="L3" s="161">
        <v>1</v>
      </c>
    </row>
    <row r="5" spans="1:7" ht="13.5">
      <c r="A5" s="153" t="s">
        <v>178</v>
      </c>
      <c r="E5" s="153">
        <f>'0 Major parameters'!C11</f>
        <v>435.9</v>
      </c>
      <c r="G5" s="153" t="str">
        <f>'0 Major parameters'!B11</f>
        <v>Electricity price exclude VAT(RMB/MWh)</v>
      </c>
    </row>
    <row r="7" spans="1:7" ht="13.5">
      <c r="A7" s="153" t="s">
        <v>179</v>
      </c>
      <c r="E7" s="156">
        <v>497.3619</v>
      </c>
      <c r="G7" s="153" t="str">
        <f>G5</f>
        <v>Electricity price exclude VAT(RMB/MWh)</v>
      </c>
    </row>
    <row r="8" spans="1:5" ht="13.5">
      <c r="A8" s="153" t="s">
        <v>180</v>
      </c>
      <c r="E8" s="157">
        <v>0.141</v>
      </c>
    </row>
    <row r="10" spans="1:12" ht="13.5">
      <c r="A10" s="151" t="s">
        <v>181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</row>
    <row r="12" ht="13.5">
      <c r="A12" s="153" t="s">
        <v>182</v>
      </c>
    </row>
    <row r="14" spans="1:7" ht="15.75">
      <c r="A14" s="153" t="s">
        <v>162</v>
      </c>
      <c r="E14" s="153">
        <f>'9 cash flow(total investment)'!D26</f>
        <v>-47348.48212257525</v>
      </c>
      <c r="G14" s="153" t="s">
        <v>183</v>
      </c>
    </row>
    <row r="16" ht="13.5">
      <c r="A16" s="153" t="s">
        <v>184</v>
      </c>
    </row>
    <row r="18" spans="1:7" ht="15.75">
      <c r="A18" s="153" t="s">
        <v>162</v>
      </c>
      <c r="E18" s="153">
        <f>'9 cash flow(total investment)'!D35</f>
        <v>-53468.06531288746</v>
      </c>
      <c r="G18" s="153" t="s">
        <v>183</v>
      </c>
    </row>
    <row r="20" ht="13.5">
      <c r="A20" s="153" t="s">
        <v>185</v>
      </c>
    </row>
    <row r="22" spans="1:7" ht="15.75">
      <c r="A22" s="153" t="s">
        <v>162</v>
      </c>
      <c r="E22" s="153">
        <f>'9 cash flow(total investment)'!D45</f>
        <v>-45736.446743299355</v>
      </c>
      <c r="G22" s="153" t="s">
        <v>183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="115" zoomScaleNormal="115" workbookViewId="0" topLeftCell="A1">
      <selection activeCell="D18" sqref="D18"/>
    </sheetView>
  </sheetViews>
  <sheetFormatPr defaultColWidth="9.00390625" defaultRowHeight="13.5"/>
  <cols>
    <col min="1" max="1" width="5.125" style="82" customWidth="1"/>
    <col min="2" max="2" width="23.375" style="82" customWidth="1"/>
    <col min="3" max="3" width="12.625" style="82" customWidth="1"/>
    <col min="4" max="4" width="9.50390625" style="82" customWidth="1"/>
    <col min="5" max="5" width="9.25390625" style="82" bestFit="1" customWidth="1"/>
    <col min="6" max="16384" width="9.00390625" style="82" customWidth="1"/>
  </cols>
  <sheetData>
    <row r="1" spans="1:7" ht="37.5" customHeight="1">
      <c r="A1" s="163" t="s">
        <v>96</v>
      </c>
      <c r="B1" s="163"/>
      <c r="C1" s="96"/>
      <c r="D1" s="6"/>
      <c r="E1" s="6"/>
      <c r="F1" s="6"/>
      <c r="G1" s="6"/>
    </row>
    <row r="2" spans="1:7" ht="15">
      <c r="A2" s="94" t="s">
        <v>0</v>
      </c>
      <c r="B2" s="8" t="s">
        <v>4</v>
      </c>
      <c r="C2" s="8" t="s">
        <v>104</v>
      </c>
      <c r="D2" s="164" t="s">
        <v>19</v>
      </c>
      <c r="E2" s="164"/>
      <c r="F2" s="8">
        <v>3</v>
      </c>
      <c r="G2" s="8">
        <v>4</v>
      </c>
    </row>
    <row r="3" spans="1:7" ht="15">
      <c r="A3" s="98">
        <v>1</v>
      </c>
      <c r="B3" s="98" t="s">
        <v>79</v>
      </c>
      <c r="C3" s="99">
        <f>'0 Major parameters'!C8*100</f>
        <v>45220.57</v>
      </c>
      <c r="D3" s="99">
        <f>C3/2-0.005</f>
        <v>22610.28</v>
      </c>
      <c r="E3" s="99">
        <f>C3/2+0.005</f>
        <v>22610.29</v>
      </c>
      <c r="F3" s="99"/>
      <c r="G3" s="99"/>
    </row>
    <row r="4" spans="1:7" ht="15">
      <c r="A4" s="98">
        <v>1.1</v>
      </c>
      <c r="B4" s="98" t="s">
        <v>97</v>
      </c>
      <c r="C4" s="99">
        <f>C3-C5</f>
        <v>13560.57</v>
      </c>
      <c r="D4" s="99">
        <f>C4/2-0.005</f>
        <v>6780.28</v>
      </c>
      <c r="E4" s="99">
        <f>C4/2+0.005</f>
        <v>6780.29</v>
      </c>
      <c r="F4" s="99"/>
      <c r="G4" s="99"/>
    </row>
    <row r="5" spans="1:7" ht="15">
      <c r="A5" s="98">
        <v>1.2</v>
      </c>
      <c r="B5" s="98" t="s">
        <v>98</v>
      </c>
      <c r="C5" s="99">
        <f>C3*C15</f>
        <v>31660</v>
      </c>
      <c r="D5" s="99">
        <f>C5/2</f>
        <v>15830</v>
      </c>
      <c r="E5" s="99">
        <f>C5/2</f>
        <v>15830</v>
      </c>
      <c r="F5" s="99"/>
      <c r="G5" s="99"/>
    </row>
    <row r="6" spans="1:7" ht="15">
      <c r="A6" s="98">
        <v>2</v>
      </c>
      <c r="B6" s="98" t="s">
        <v>99</v>
      </c>
      <c r="C6" s="99">
        <f>C7</f>
        <v>1967.2371575999998</v>
      </c>
      <c r="D6" s="99">
        <f>D7</f>
        <v>484.39799999999997</v>
      </c>
      <c r="E6" s="99">
        <f>E7</f>
        <v>1482.8391576</v>
      </c>
      <c r="F6" s="99"/>
      <c r="G6" s="99"/>
    </row>
    <row r="7" spans="1:7" ht="15">
      <c r="A7" s="98">
        <v>2.1</v>
      </c>
      <c r="B7" s="98" t="s">
        <v>100</v>
      </c>
      <c r="C7" s="99">
        <f>D7+E7</f>
        <v>1967.2371575999998</v>
      </c>
      <c r="D7" s="99">
        <f>D5/2*C14</f>
        <v>484.39799999999997</v>
      </c>
      <c r="E7" s="99">
        <f>D5/2*(1+C14)*C14+E5*C14</f>
        <v>1482.8391576</v>
      </c>
      <c r="F7" s="99"/>
      <c r="G7" s="99"/>
    </row>
    <row r="8" spans="1:7" ht="15">
      <c r="A8" s="98">
        <v>3</v>
      </c>
      <c r="B8" s="95" t="s">
        <v>17</v>
      </c>
      <c r="C8" s="100">
        <f>F8+G8</f>
        <v>522.96</v>
      </c>
      <c r="D8" s="99"/>
      <c r="E8" s="99"/>
      <c r="F8" s="99">
        <v>489.37</v>
      </c>
      <c r="G8" s="99">
        <v>33.59</v>
      </c>
    </row>
    <row r="9" spans="1:7" ht="15">
      <c r="A9" s="98">
        <v>3.1</v>
      </c>
      <c r="B9" s="98" t="s">
        <v>101</v>
      </c>
      <c r="C9" s="99">
        <f>F9+G9</f>
        <v>156.888</v>
      </c>
      <c r="D9" s="99"/>
      <c r="E9" s="99"/>
      <c r="F9" s="99">
        <f>F8*0.3</f>
        <v>146.811</v>
      </c>
      <c r="G9" s="99">
        <f>G8*0.3</f>
        <v>10.077</v>
      </c>
    </row>
    <row r="10" spans="1:7" ht="15">
      <c r="A10" s="98">
        <v>3.2</v>
      </c>
      <c r="B10" s="98" t="s">
        <v>102</v>
      </c>
      <c r="C10" s="99">
        <f>F10+G10</f>
        <v>366.07199999999995</v>
      </c>
      <c r="D10" s="99"/>
      <c r="E10" s="99"/>
      <c r="F10" s="99">
        <f>F8*0.7</f>
        <v>342.55899999999997</v>
      </c>
      <c r="G10" s="99">
        <f>G8*0.7</f>
        <v>23.513</v>
      </c>
    </row>
    <row r="11" spans="1:7" ht="15">
      <c r="A11" s="98">
        <v>4</v>
      </c>
      <c r="B11" s="98" t="s">
        <v>103</v>
      </c>
      <c r="C11" s="99">
        <f>C3+C6+C8</f>
        <v>47710.7671576</v>
      </c>
      <c r="D11" s="99">
        <f>D3+D6+D8</f>
        <v>23094.678</v>
      </c>
      <c r="E11" s="99">
        <f>E3+E6+E8</f>
        <v>24093.1291576</v>
      </c>
      <c r="F11" s="99">
        <f>F3+F6+F8</f>
        <v>489.37</v>
      </c>
      <c r="G11" s="99">
        <f>G3+G6+G8</f>
        <v>33.59</v>
      </c>
    </row>
    <row r="14" spans="2:3" ht="15">
      <c r="B14" s="82" t="s">
        <v>108</v>
      </c>
      <c r="C14" s="97">
        <v>0.0612</v>
      </c>
    </row>
    <row r="15" spans="2:3" ht="15">
      <c r="B15" s="82" t="s">
        <v>109</v>
      </c>
      <c r="C15" s="103">
        <v>0.7001238595621417</v>
      </c>
    </row>
    <row r="16" spans="2:3" ht="15">
      <c r="B16" s="82" t="s">
        <v>110</v>
      </c>
      <c r="C16" s="103">
        <f>1-C15</f>
        <v>0.29987614043785826</v>
      </c>
    </row>
    <row r="18" ht="15">
      <c r="B18" s="82" t="s">
        <v>111</v>
      </c>
    </row>
    <row r="20" ht="15">
      <c r="C20" s="87">
        <f>C3+C6</f>
        <v>47187.8071576</v>
      </c>
    </row>
  </sheetData>
  <mergeCells count="2">
    <mergeCell ref="A1:B1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="130" zoomScaleNormal="130" workbookViewId="0" topLeftCell="A1">
      <selection activeCell="B30" sqref="B30"/>
    </sheetView>
  </sheetViews>
  <sheetFormatPr defaultColWidth="9.00390625" defaultRowHeight="13.5"/>
  <cols>
    <col min="2" max="2" width="27.625" style="0" customWidth="1"/>
  </cols>
  <sheetData>
    <row r="1" spans="1:2" ht="18">
      <c r="A1" s="163" t="s">
        <v>96</v>
      </c>
      <c r="B1" s="163"/>
    </row>
    <row r="2" spans="1:3" ht="13.5">
      <c r="A2" s="68">
        <v>1.1</v>
      </c>
      <c r="B2" s="63" t="s">
        <v>22</v>
      </c>
      <c r="C2" s="21">
        <f>C3+C4+C5+C6</f>
        <v>13103.17164</v>
      </c>
    </row>
    <row r="3" spans="1:3" ht="13.5">
      <c r="A3" s="68" t="s">
        <v>20</v>
      </c>
      <c r="B3" s="63" t="s">
        <v>23</v>
      </c>
      <c r="C3" s="21">
        <f>'0 Major parameters'!C10*'0 Major parameters'!C12/10000</f>
        <v>842.308</v>
      </c>
    </row>
    <row r="4" spans="1:3" ht="13.5">
      <c r="A4" s="65" t="s">
        <v>74</v>
      </c>
      <c r="B4" s="63" t="s">
        <v>65</v>
      </c>
      <c r="C4" s="21">
        <f>C3*0.17</f>
        <v>143.19236</v>
      </c>
    </row>
    <row r="5" spans="1:3" ht="13.5">
      <c r="A5" s="65" t="s">
        <v>21</v>
      </c>
      <c r="B5" s="63" t="s">
        <v>24</v>
      </c>
      <c r="C5" s="21">
        <f>'0 Major parameters'!C2*'0 Major parameters'!C11*1000/10000</f>
        <v>10356.984</v>
      </c>
    </row>
    <row r="6" spans="1:3" ht="13.5">
      <c r="A6" s="65" t="s">
        <v>75</v>
      </c>
      <c r="B6" s="63" t="s">
        <v>66</v>
      </c>
      <c r="C6" s="22">
        <f>C5*0.17</f>
        <v>1760.68728</v>
      </c>
    </row>
    <row r="7" spans="1:3" ht="13.5">
      <c r="A7" s="65">
        <v>1.2</v>
      </c>
      <c r="B7" s="63" t="s">
        <v>72</v>
      </c>
      <c r="C7" s="22">
        <f>C4+C6</f>
        <v>1903.87964</v>
      </c>
    </row>
    <row r="8" spans="1:3" ht="13.5">
      <c r="A8" s="69">
        <v>2</v>
      </c>
      <c r="B8" s="70" t="s">
        <v>69</v>
      </c>
      <c r="C8" s="15">
        <f>'3 Raw material'!G17</f>
        <v>570.1413752284616</v>
      </c>
    </row>
    <row r="9" spans="1:3" ht="13.5">
      <c r="A9" s="71">
        <v>3</v>
      </c>
      <c r="B9" s="63" t="s">
        <v>70</v>
      </c>
      <c r="C9" s="60">
        <f>C4+C6-C8</f>
        <v>1333.7382647715385</v>
      </c>
    </row>
    <row r="10" spans="1:3" ht="13.5">
      <c r="A10" s="71">
        <v>4</v>
      </c>
      <c r="B10" s="63" t="s">
        <v>71</v>
      </c>
      <c r="C10" s="10">
        <f>C9*0.1</f>
        <v>133.37382647715387</v>
      </c>
    </row>
    <row r="11" spans="1:3" ht="13.5">
      <c r="A11" s="71">
        <v>5</v>
      </c>
      <c r="B11" s="62" t="s">
        <v>76</v>
      </c>
      <c r="C11" s="61">
        <f>C9*1.1</f>
        <v>1467.1120912486924</v>
      </c>
    </row>
  </sheetData>
  <mergeCells count="1">
    <mergeCell ref="A1:B1"/>
  </mergeCells>
  <printOptions/>
  <pageMargins left="0.75" right="0.75" top="1" bottom="1" header="0.5" footer="0.5"/>
  <pageSetup horizontalDpi="96" verticalDpi="96" orientation="portrait" paperSize="9" r:id="rId1"/>
  <ignoredErrors>
    <ignoredError sqref="C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3" sqref="C13"/>
    </sheetView>
  </sheetViews>
  <sheetFormatPr defaultColWidth="9.00390625" defaultRowHeight="13.5"/>
  <cols>
    <col min="2" max="2" width="12.75390625" style="0" customWidth="1"/>
    <col min="3" max="3" width="12.875" style="0" customWidth="1"/>
    <col min="4" max="4" width="15.625" style="0" customWidth="1"/>
    <col min="5" max="5" width="13.50390625" style="0" customWidth="1"/>
    <col min="6" max="6" width="16.00390625" style="0" customWidth="1"/>
    <col min="8" max="8" width="11.25390625" style="0" customWidth="1"/>
  </cols>
  <sheetData>
    <row r="1" spans="1:8" ht="18.75">
      <c r="A1" s="169" t="s">
        <v>30</v>
      </c>
      <c r="B1" s="170"/>
      <c r="C1" s="170"/>
      <c r="D1" s="170"/>
      <c r="E1" s="170"/>
      <c r="F1" s="170"/>
      <c r="G1" s="170"/>
      <c r="H1" s="171"/>
    </row>
    <row r="2" spans="1:8" ht="13.5">
      <c r="A2" s="165" t="s">
        <v>38</v>
      </c>
      <c r="B2" s="176" t="s">
        <v>39</v>
      </c>
      <c r="C2" s="167" t="s">
        <v>47</v>
      </c>
      <c r="D2" s="176" t="s">
        <v>44</v>
      </c>
      <c r="E2" s="180" t="s">
        <v>68</v>
      </c>
      <c r="F2" s="172" t="s">
        <v>3</v>
      </c>
      <c r="G2" s="178" t="s">
        <v>73</v>
      </c>
      <c r="H2" s="174" t="s">
        <v>67</v>
      </c>
    </row>
    <row r="3" spans="1:8" ht="18.75" customHeight="1">
      <c r="A3" s="166"/>
      <c r="B3" s="177"/>
      <c r="C3" s="168"/>
      <c r="D3" s="177"/>
      <c r="E3" s="181"/>
      <c r="F3" s="173"/>
      <c r="G3" s="179"/>
      <c r="H3" s="175"/>
    </row>
    <row r="4" spans="1:8" ht="31.5">
      <c r="A4" s="73">
        <v>1</v>
      </c>
      <c r="B4" s="28" t="s">
        <v>28</v>
      </c>
      <c r="C4" s="74"/>
      <c r="D4" s="74"/>
      <c r="E4" s="75">
        <f>SUM(E5:E10)</f>
        <v>810.0122070000001</v>
      </c>
      <c r="F4" s="29"/>
      <c r="G4" s="47">
        <f>SUM(G5:G10)</f>
        <v>137.70207519000004</v>
      </c>
      <c r="H4" s="31">
        <f>SUM(H5:H10)</f>
        <v>947.7142821900001</v>
      </c>
    </row>
    <row r="5" spans="1:8" ht="15">
      <c r="A5" s="76" t="s">
        <v>40</v>
      </c>
      <c r="B5" s="24" t="s">
        <v>41</v>
      </c>
      <c r="C5" s="77">
        <v>478.63</v>
      </c>
      <c r="D5" s="77">
        <f>(207)*'10 sensitivity analysis'!B26</f>
        <v>207</v>
      </c>
      <c r="E5" s="78">
        <f>C5*D5/10000*'10 sensitivity analysis'!B25</f>
        <v>9.907641</v>
      </c>
      <c r="F5" s="25">
        <v>0.17</v>
      </c>
      <c r="G5" s="44">
        <f aca="true" t="shared" si="0" ref="G5:G10">E5*F5</f>
        <v>1.6842989700000002</v>
      </c>
      <c r="H5" s="32">
        <f aca="true" t="shared" si="1" ref="H5:H10">E5*1.17</f>
        <v>11.591939969999999</v>
      </c>
    </row>
    <row r="6" spans="1:8" ht="28.5">
      <c r="A6" s="76">
        <v>1.2</v>
      </c>
      <c r="B6" s="24" t="s">
        <v>42</v>
      </c>
      <c r="C6" s="77">
        <v>897.43</v>
      </c>
      <c r="D6" s="77">
        <f>(116)*'10 sensitivity analysis'!B26</f>
        <v>116</v>
      </c>
      <c r="E6" s="78">
        <f>C6*D6/10000*'10 sensitivity analysis'!B25</f>
        <v>10.410188</v>
      </c>
      <c r="F6" s="25">
        <v>0.17</v>
      </c>
      <c r="G6" s="44">
        <f t="shared" si="0"/>
        <v>1.76973196</v>
      </c>
      <c r="H6" s="32">
        <f t="shared" si="1"/>
        <v>12.17991996</v>
      </c>
    </row>
    <row r="7" spans="1:8" ht="30">
      <c r="A7" s="76">
        <v>1.3</v>
      </c>
      <c r="B7" s="24" t="s">
        <v>31</v>
      </c>
      <c r="C7" s="77">
        <v>1280</v>
      </c>
      <c r="D7" s="77">
        <f>(459)*'10 sensitivity analysis'!B26</f>
        <v>459</v>
      </c>
      <c r="E7" s="78">
        <f>C7*D7/10000*'10 sensitivity analysis'!B25</f>
        <v>58.752</v>
      </c>
      <c r="F7" s="25">
        <v>0.17</v>
      </c>
      <c r="G7" s="44">
        <f t="shared" si="0"/>
        <v>9.98784</v>
      </c>
      <c r="H7" s="32">
        <f t="shared" si="1"/>
        <v>68.73984</v>
      </c>
    </row>
    <row r="8" spans="1:8" ht="30">
      <c r="A8" s="76">
        <v>1.4</v>
      </c>
      <c r="B8" s="24" t="s">
        <v>32</v>
      </c>
      <c r="C8" s="77">
        <v>854.7</v>
      </c>
      <c r="D8" s="77">
        <f>(1.9)*'10 sensitivity analysis'!B26</f>
        <v>1.9</v>
      </c>
      <c r="E8" s="78">
        <f>C8*D8/10000*'10 sensitivity analysis'!B25</f>
        <v>0.162393</v>
      </c>
      <c r="F8" s="25">
        <v>0.17</v>
      </c>
      <c r="G8" s="44">
        <f t="shared" si="0"/>
        <v>0.027606810000000002</v>
      </c>
      <c r="H8" s="32">
        <f t="shared" si="1"/>
        <v>0.18999981</v>
      </c>
    </row>
    <row r="9" spans="1:8" ht="15">
      <c r="A9" s="76">
        <v>1.5</v>
      </c>
      <c r="B9" s="24" t="s">
        <v>33</v>
      </c>
      <c r="C9" s="77">
        <v>9115</v>
      </c>
      <c r="D9" s="77">
        <f>(0.19)*'10 sensitivity analysis'!B26</f>
        <v>0.19</v>
      </c>
      <c r="E9" s="78">
        <f>C9*D9/10000*'10 sensitivity analysis'!B25</f>
        <v>0.17318499999999998</v>
      </c>
      <c r="F9" s="25">
        <v>0.17</v>
      </c>
      <c r="G9" s="44">
        <f t="shared" si="0"/>
        <v>0.029441449999999997</v>
      </c>
      <c r="H9" s="32">
        <f t="shared" si="1"/>
        <v>0.20262644999999996</v>
      </c>
    </row>
    <row r="10" spans="1:8" ht="30">
      <c r="A10" s="76">
        <v>1.6</v>
      </c>
      <c r="B10" s="24" t="s">
        <v>148</v>
      </c>
      <c r="C10" s="77">
        <v>420</v>
      </c>
      <c r="D10" s="77">
        <f>(17395.4)*'10 sensitivity analysis'!B26</f>
        <v>17395.4</v>
      </c>
      <c r="E10" s="78">
        <f>C10*D10/10000*'10 sensitivity analysis'!B25</f>
        <v>730.6068000000001</v>
      </c>
      <c r="F10" s="25">
        <v>0.17</v>
      </c>
      <c r="G10" s="44">
        <f t="shared" si="0"/>
        <v>124.20315600000004</v>
      </c>
      <c r="H10" s="32">
        <f t="shared" si="1"/>
        <v>854.809956</v>
      </c>
    </row>
    <row r="11" spans="1:8" ht="28.5">
      <c r="A11" s="79">
        <v>2</v>
      </c>
      <c r="B11" s="26" t="s">
        <v>29</v>
      </c>
      <c r="C11" s="80"/>
      <c r="D11" s="80"/>
      <c r="E11" s="81">
        <f>SUM(E12:E16)</f>
        <v>2543.760588461538</v>
      </c>
      <c r="F11" s="27"/>
      <c r="G11" s="45">
        <f>SUM(G12:G16)</f>
        <v>432.4393000384615</v>
      </c>
      <c r="H11" s="33">
        <f>SUM(H12:H16)</f>
        <v>2976.1998884999994</v>
      </c>
    </row>
    <row r="12" spans="1:8" ht="15">
      <c r="A12" s="76" t="s">
        <v>34</v>
      </c>
      <c r="B12" s="23" t="s">
        <v>35</v>
      </c>
      <c r="C12" s="77">
        <v>2</v>
      </c>
      <c r="D12" s="77">
        <f>(2365250)*'10 sensitivity analysis'!B26</f>
        <v>2365250</v>
      </c>
      <c r="E12" s="78">
        <f>C12*D12/10000*'10 sensitivity analysis'!B25</f>
        <v>473.05</v>
      </c>
      <c r="F12" s="25">
        <v>0.17</v>
      </c>
      <c r="G12" s="44">
        <f>E12*F12</f>
        <v>80.41850000000001</v>
      </c>
      <c r="H12" s="32">
        <f>E12*1.17</f>
        <v>553.4685</v>
      </c>
    </row>
    <row r="13" spans="1:8" ht="15">
      <c r="A13" s="76" t="s">
        <v>25</v>
      </c>
      <c r="B13" s="24" t="s">
        <v>36</v>
      </c>
      <c r="C13" s="159">
        <f>510/1.17</f>
        <v>435.8974358974359</v>
      </c>
      <c r="D13" s="77">
        <f>(40614.75)*'10 sensitivity analysis'!B26</f>
        <v>40614.75</v>
      </c>
      <c r="E13" s="78">
        <f>C13*D13/10000*'10 sensitivity analysis'!B25</f>
        <v>1770.3865384615383</v>
      </c>
      <c r="F13" s="25">
        <v>0.17</v>
      </c>
      <c r="G13" s="44">
        <f>E13*F13</f>
        <v>300.9657115384615</v>
      </c>
      <c r="H13" s="32">
        <f>E13*1.17</f>
        <v>2071.3522499999995</v>
      </c>
    </row>
    <row r="14" spans="1:8" ht="15">
      <c r="A14" s="76" t="s">
        <v>26</v>
      </c>
      <c r="B14" s="24" t="s">
        <v>37</v>
      </c>
      <c r="C14" s="77">
        <v>84</v>
      </c>
      <c r="D14" s="77">
        <f>(5000)*'10 sensitivity analysis'!B26</f>
        <v>5000</v>
      </c>
      <c r="E14" s="78">
        <f>C14*D14/10000*'10 sensitivity analysis'!B25</f>
        <v>42</v>
      </c>
      <c r="F14" s="25">
        <v>0.17</v>
      </c>
      <c r="G14" s="44">
        <f>E14*F14</f>
        <v>7.140000000000001</v>
      </c>
      <c r="H14" s="32">
        <f>E14*1.17</f>
        <v>49.14</v>
      </c>
    </row>
    <row r="15" spans="1:8" ht="15">
      <c r="A15" s="76">
        <v>2.4</v>
      </c>
      <c r="B15" s="24" t="s">
        <v>46</v>
      </c>
      <c r="C15" s="77">
        <v>0.1</v>
      </c>
      <c r="D15" s="77">
        <f>(16173530)*'10 sensitivity analysis'!B26</f>
        <v>16173530</v>
      </c>
      <c r="E15" s="78">
        <f>C15*D15/10000*'10 sensitivity analysis'!B25</f>
        <v>161.7353</v>
      </c>
      <c r="F15" s="25">
        <v>0.17</v>
      </c>
      <c r="G15" s="44">
        <f>E15*F15</f>
        <v>27.495001000000002</v>
      </c>
      <c r="H15" s="32">
        <f>E15*1.17</f>
        <v>189.23030099999997</v>
      </c>
    </row>
    <row r="16" spans="1:8" ht="16.5">
      <c r="A16" s="34">
        <v>2.5</v>
      </c>
      <c r="B16" s="24" t="s">
        <v>43</v>
      </c>
      <c r="C16" s="77">
        <v>0.15</v>
      </c>
      <c r="D16" s="77">
        <f>(6439250)*'10 sensitivity analysis'!B26</f>
        <v>6439250</v>
      </c>
      <c r="E16" s="78">
        <f>C16*D16/10000*'10 sensitivity analysis'!B25</f>
        <v>96.58875</v>
      </c>
      <c r="F16" s="25">
        <v>0.17</v>
      </c>
      <c r="G16" s="44">
        <f>E16*F16</f>
        <v>16.4200875</v>
      </c>
      <c r="H16" s="32">
        <f>E16*1.17</f>
        <v>113.0088375</v>
      </c>
    </row>
    <row r="17" spans="1:8" ht="16.5" thickBot="1">
      <c r="A17" s="35" t="s">
        <v>45</v>
      </c>
      <c r="B17" s="36"/>
      <c r="C17" s="36"/>
      <c r="D17" s="36"/>
      <c r="E17" s="40">
        <f>+E4+E11</f>
        <v>3353.7727954615384</v>
      </c>
      <c r="F17" s="36"/>
      <c r="G17" s="46">
        <f>G4+G11</f>
        <v>570.1413752284616</v>
      </c>
      <c r="H17" s="41">
        <f>H4+H11</f>
        <v>3923.9141706899995</v>
      </c>
    </row>
    <row r="20" ht="18.75">
      <c r="A20" s="42" t="s">
        <v>49</v>
      </c>
    </row>
    <row r="21" ht="18.75">
      <c r="A21" s="43" t="s">
        <v>48</v>
      </c>
    </row>
  </sheetData>
  <mergeCells count="9">
    <mergeCell ref="A2:A3"/>
    <mergeCell ref="C2:C3"/>
    <mergeCell ref="A1:H1"/>
    <mergeCell ref="F2:F3"/>
    <mergeCell ref="H2:H3"/>
    <mergeCell ref="B2:B3"/>
    <mergeCell ref="D2:D3"/>
    <mergeCell ref="G2:G3"/>
    <mergeCell ref="E2:E3"/>
  </mergeCells>
  <printOptions/>
  <pageMargins left="0.75" right="0.75" top="1" bottom="1" header="0.5" footer="0.5"/>
  <pageSetup orientation="portrait" paperSize="9"/>
  <ignoredErrors>
    <ignoredError sqref="A5 A12:A14" numberStoredAsText="1"/>
    <ignoredError sqref="E11 G11:H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W4" sqref="W4"/>
    </sheetView>
  </sheetViews>
  <sheetFormatPr defaultColWidth="9.00390625" defaultRowHeight="13.5"/>
  <cols>
    <col min="1" max="1" width="5.875" style="82" customWidth="1"/>
    <col min="2" max="2" width="22.375" style="82" customWidth="1"/>
    <col min="3" max="3" width="9.625" style="82" bestFit="1" customWidth="1"/>
    <col min="4" max="16384" width="9.00390625" style="82" customWidth="1"/>
  </cols>
  <sheetData>
    <row r="1" spans="1:22" ht="34.5" customHeight="1">
      <c r="A1" s="163" t="s">
        <v>96</v>
      </c>
      <c r="B1" s="16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3" ht="15">
      <c r="A2" s="94" t="s">
        <v>0</v>
      </c>
      <c r="B2" s="8" t="s">
        <v>4</v>
      </c>
      <c r="C2" s="83" t="s">
        <v>106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</row>
    <row r="3" spans="2:23" ht="15">
      <c r="B3" s="82" t="s">
        <v>105</v>
      </c>
      <c r="C3" s="93"/>
      <c r="D3" s="93">
        <v>80</v>
      </c>
      <c r="E3" s="93">
        <v>100</v>
      </c>
      <c r="F3" s="93">
        <f>E3</f>
        <v>100</v>
      </c>
      <c r="G3" s="93">
        <f aca="true" t="shared" si="0" ref="G3:W3">F3</f>
        <v>100</v>
      </c>
      <c r="H3" s="93">
        <f t="shared" si="0"/>
        <v>100</v>
      </c>
      <c r="I3" s="93">
        <f t="shared" si="0"/>
        <v>100</v>
      </c>
      <c r="J3" s="93">
        <f t="shared" si="0"/>
        <v>100</v>
      </c>
      <c r="K3" s="93">
        <f t="shared" si="0"/>
        <v>100</v>
      </c>
      <c r="L3" s="93">
        <f t="shared" si="0"/>
        <v>100</v>
      </c>
      <c r="M3" s="93">
        <f t="shared" si="0"/>
        <v>100</v>
      </c>
      <c r="N3" s="93">
        <f t="shared" si="0"/>
        <v>100</v>
      </c>
      <c r="O3" s="93">
        <f t="shared" si="0"/>
        <v>100</v>
      </c>
      <c r="P3" s="93">
        <f t="shared" si="0"/>
        <v>100</v>
      </c>
      <c r="Q3" s="93">
        <f t="shared" si="0"/>
        <v>100</v>
      </c>
      <c r="R3" s="93">
        <f t="shared" si="0"/>
        <v>100</v>
      </c>
      <c r="S3" s="93">
        <f t="shared" si="0"/>
        <v>100</v>
      </c>
      <c r="T3" s="93">
        <f t="shared" si="0"/>
        <v>100</v>
      </c>
      <c r="U3" s="93">
        <f t="shared" si="0"/>
        <v>100</v>
      </c>
      <c r="V3" s="93">
        <f t="shared" si="0"/>
        <v>100</v>
      </c>
      <c r="W3" s="93">
        <f t="shared" si="0"/>
        <v>100</v>
      </c>
    </row>
    <row r="4" spans="1:23" ht="15">
      <c r="A4" s="82">
        <v>1</v>
      </c>
      <c r="B4" s="101" t="s">
        <v>112</v>
      </c>
      <c r="C4" s="93">
        <f>SUM(D4:W4)</f>
        <v>151519.16957966198</v>
      </c>
      <c r="D4" s="104">
        <f>SUM(D5:D8)</f>
        <v>7831.859344885332</v>
      </c>
      <c r="E4" s="104">
        <f aca="true" t="shared" si="1" ref="E4:W4">SUM(E5:E8)</f>
        <v>8616.642179023333</v>
      </c>
      <c r="F4" s="104">
        <f t="shared" si="1"/>
        <v>8616.642179023333</v>
      </c>
      <c r="G4" s="104">
        <f t="shared" si="1"/>
        <v>8616.642179023333</v>
      </c>
      <c r="H4" s="104">
        <f t="shared" si="1"/>
        <v>8616.642179023333</v>
      </c>
      <c r="I4" s="104">
        <f t="shared" si="1"/>
        <v>8616.642179023333</v>
      </c>
      <c r="J4" s="104">
        <f t="shared" si="1"/>
        <v>8616.642179023333</v>
      </c>
      <c r="K4" s="104">
        <f t="shared" si="1"/>
        <v>8616.642179023333</v>
      </c>
      <c r="L4" s="104">
        <f t="shared" si="1"/>
        <v>8616.642179023333</v>
      </c>
      <c r="M4" s="104">
        <f t="shared" si="1"/>
        <v>8616.642179023333</v>
      </c>
      <c r="N4" s="104">
        <f t="shared" si="1"/>
        <v>8367.663329023333</v>
      </c>
      <c r="O4" s="104">
        <f t="shared" si="1"/>
        <v>8367.663329023333</v>
      </c>
      <c r="P4" s="104">
        <f t="shared" si="1"/>
        <v>6175.27549569</v>
      </c>
      <c r="Q4" s="104">
        <f t="shared" si="1"/>
        <v>6175.27549569</v>
      </c>
      <c r="R4" s="104">
        <f t="shared" si="1"/>
        <v>6175.27549569</v>
      </c>
      <c r="S4" s="104">
        <f t="shared" si="1"/>
        <v>6175.27549569</v>
      </c>
      <c r="T4" s="104">
        <f t="shared" si="1"/>
        <v>6175.27549569</v>
      </c>
      <c r="U4" s="104">
        <f t="shared" si="1"/>
        <v>6175.27549569</v>
      </c>
      <c r="V4" s="104">
        <f t="shared" si="1"/>
        <v>6175.27549569</v>
      </c>
      <c r="W4" s="104">
        <f t="shared" si="1"/>
        <v>6175.27549569</v>
      </c>
    </row>
    <row r="5" spans="1:23" ht="15">
      <c r="A5" s="82">
        <v>1.1</v>
      </c>
      <c r="B5" s="102" t="s">
        <v>113</v>
      </c>
      <c r="C5" s="93">
        <f aca="true" t="shared" si="2" ref="C5:C17">SUM(D5:W5)</f>
        <v>18764.742787362</v>
      </c>
      <c r="D5" s="87">
        <f>E5*D3/100</f>
        <v>758.1714257520001</v>
      </c>
      <c r="E5" s="93">
        <f>'3 Raw material'!H4</f>
        <v>947.7142821900001</v>
      </c>
      <c r="F5" s="93">
        <f>E5</f>
        <v>947.7142821900001</v>
      </c>
      <c r="G5" s="93">
        <f aca="true" t="shared" si="3" ref="G5:W5">F5</f>
        <v>947.7142821900001</v>
      </c>
      <c r="H5" s="93">
        <f t="shared" si="3"/>
        <v>947.7142821900001</v>
      </c>
      <c r="I5" s="93">
        <f t="shared" si="3"/>
        <v>947.7142821900001</v>
      </c>
      <c r="J5" s="93">
        <f t="shared" si="3"/>
        <v>947.7142821900001</v>
      </c>
      <c r="K5" s="93">
        <f t="shared" si="3"/>
        <v>947.7142821900001</v>
      </c>
      <c r="L5" s="93">
        <f t="shared" si="3"/>
        <v>947.7142821900001</v>
      </c>
      <c r="M5" s="93">
        <f t="shared" si="3"/>
        <v>947.7142821900001</v>
      </c>
      <c r="N5" s="93">
        <f t="shared" si="3"/>
        <v>947.7142821900001</v>
      </c>
      <c r="O5" s="93">
        <f t="shared" si="3"/>
        <v>947.7142821900001</v>
      </c>
      <c r="P5" s="93">
        <f t="shared" si="3"/>
        <v>947.7142821900001</v>
      </c>
      <c r="Q5" s="93">
        <f t="shared" si="3"/>
        <v>947.7142821900001</v>
      </c>
      <c r="R5" s="93">
        <f t="shared" si="3"/>
        <v>947.7142821900001</v>
      </c>
      <c r="S5" s="93">
        <f t="shared" si="3"/>
        <v>947.7142821900001</v>
      </c>
      <c r="T5" s="93">
        <f t="shared" si="3"/>
        <v>947.7142821900001</v>
      </c>
      <c r="U5" s="93">
        <f t="shared" si="3"/>
        <v>947.7142821900001</v>
      </c>
      <c r="V5" s="93">
        <f t="shared" si="3"/>
        <v>947.7142821900001</v>
      </c>
      <c r="W5" s="93">
        <f t="shared" si="3"/>
        <v>947.7142821900001</v>
      </c>
    </row>
    <row r="6" spans="1:23" ht="15">
      <c r="A6" s="82">
        <v>1.2</v>
      </c>
      <c r="B6" s="82" t="s">
        <v>114</v>
      </c>
      <c r="C6" s="93">
        <f t="shared" si="2"/>
        <v>58928.75779229999</v>
      </c>
      <c r="D6" s="87">
        <f>E6*D3/100</f>
        <v>2380.9599107999993</v>
      </c>
      <c r="E6" s="93">
        <f>'3 Raw material'!H11</f>
        <v>2976.1998884999994</v>
      </c>
      <c r="F6" s="93">
        <f>E6</f>
        <v>2976.1998884999994</v>
      </c>
      <c r="G6" s="93">
        <f aca="true" t="shared" si="4" ref="G6:W6">F6</f>
        <v>2976.1998884999994</v>
      </c>
      <c r="H6" s="93">
        <f t="shared" si="4"/>
        <v>2976.1998884999994</v>
      </c>
      <c r="I6" s="93">
        <f t="shared" si="4"/>
        <v>2976.1998884999994</v>
      </c>
      <c r="J6" s="93">
        <f t="shared" si="4"/>
        <v>2976.1998884999994</v>
      </c>
      <c r="K6" s="93">
        <f t="shared" si="4"/>
        <v>2976.1998884999994</v>
      </c>
      <c r="L6" s="93">
        <f t="shared" si="4"/>
        <v>2976.1998884999994</v>
      </c>
      <c r="M6" s="93">
        <f t="shared" si="4"/>
        <v>2976.1998884999994</v>
      </c>
      <c r="N6" s="93">
        <f t="shared" si="4"/>
        <v>2976.1998884999994</v>
      </c>
      <c r="O6" s="93">
        <f t="shared" si="4"/>
        <v>2976.1998884999994</v>
      </c>
      <c r="P6" s="93">
        <f t="shared" si="4"/>
        <v>2976.1998884999994</v>
      </c>
      <c r="Q6" s="93">
        <f t="shared" si="4"/>
        <v>2976.1998884999994</v>
      </c>
      <c r="R6" s="93">
        <f t="shared" si="4"/>
        <v>2976.1998884999994</v>
      </c>
      <c r="S6" s="93">
        <f t="shared" si="4"/>
        <v>2976.1998884999994</v>
      </c>
      <c r="T6" s="93">
        <f t="shared" si="4"/>
        <v>2976.1998884999994</v>
      </c>
      <c r="U6" s="93">
        <f t="shared" si="4"/>
        <v>2976.1998884999994</v>
      </c>
      <c r="V6" s="93">
        <f t="shared" si="4"/>
        <v>2976.1998884999994</v>
      </c>
      <c r="W6" s="93">
        <f t="shared" si="4"/>
        <v>2976.1998884999994</v>
      </c>
    </row>
    <row r="7" spans="1:23" ht="15">
      <c r="A7" s="82">
        <v>1.3</v>
      </c>
      <c r="B7" s="82" t="s">
        <v>115</v>
      </c>
      <c r="C7" s="93">
        <f t="shared" si="2"/>
        <v>9159</v>
      </c>
      <c r="D7" s="93">
        <v>457.95</v>
      </c>
      <c r="E7" s="93">
        <f>D7</f>
        <v>457.95</v>
      </c>
      <c r="F7" s="93">
        <f aca="true" t="shared" si="5" ref="F7:W7">E7</f>
        <v>457.95</v>
      </c>
      <c r="G7" s="93">
        <f t="shared" si="5"/>
        <v>457.95</v>
      </c>
      <c r="H7" s="93">
        <f t="shared" si="5"/>
        <v>457.95</v>
      </c>
      <c r="I7" s="93">
        <f t="shared" si="5"/>
        <v>457.95</v>
      </c>
      <c r="J7" s="93">
        <f t="shared" si="5"/>
        <v>457.95</v>
      </c>
      <c r="K7" s="93">
        <f t="shared" si="5"/>
        <v>457.95</v>
      </c>
      <c r="L7" s="93">
        <f t="shared" si="5"/>
        <v>457.95</v>
      </c>
      <c r="M7" s="93">
        <f t="shared" si="5"/>
        <v>457.95</v>
      </c>
      <c r="N7" s="93">
        <f t="shared" si="5"/>
        <v>457.95</v>
      </c>
      <c r="O7" s="93">
        <f t="shared" si="5"/>
        <v>457.95</v>
      </c>
      <c r="P7" s="93">
        <f t="shared" si="5"/>
        <v>457.95</v>
      </c>
      <c r="Q7" s="93">
        <f t="shared" si="5"/>
        <v>457.95</v>
      </c>
      <c r="R7" s="93">
        <f t="shared" si="5"/>
        <v>457.95</v>
      </c>
      <c r="S7" s="93">
        <f t="shared" si="5"/>
        <v>457.95</v>
      </c>
      <c r="T7" s="93">
        <f t="shared" si="5"/>
        <v>457.95</v>
      </c>
      <c r="U7" s="93">
        <f t="shared" si="5"/>
        <v>457.95</v>
      </c>
      <c r="V7" s="93">
        <f t="shared" si="5"/>
        <v>457.95</v>
      </c>
      <c r="W7" s="93">
        <f t="shared" si="5"/>
        <v>457.95</v>
      </c>
    </row>
    <row r="8" spans="1:23" ht="15">
      <c r="A8" s="82">
        <v>1.4</v>
      </c>
      <c r="B8" s="82" t="s">
        <v>116</v>
      </c>
      <c r="C8" s="93">
        <f t="shared" si="2"/>
        <v>64666.669000000016</v>
      </c>
      <c r="D8" s="93">
        <f>D9+D10</f>
        <v>4234.778008333333</v>
      </c>
      <c r="E8" s="93">
        <f aca="true" t="shared" si="6" ref="E8:W8">E9+E10</f>
        <v>4234.778008333333</v>
      </c>
      <c r="F8" s="93">
        <f t="shared" si="6"/>
        <v>4234.778008333333</v>
      </c>
      <c r="G8" s="93">
        <f t="shared" si="6"/>
        <v>4234.778008333333</v>
      </c>
      <c r="H8" s="93">
        <f t="shared" si="6"/>
        <v>4234.778008333333</v>
      </c>
      <c r="I8" s="93">
        <f t="shared" si="6"/>
        <v>4234.778008333333</v>
      </c>
      <c r="J8" s="93">
        <f t="shared" si="6"/>
        <v>4234.778008333333</v>
      </c>
      <c r="K8" s="93">
        <f t="shared" si="6"/>
        <v>4234.778008333333</v>
      </c>
      <c r="L8" s="93">
        <f t="shared" si="6"/>
        <v>4234.778008333333</v>
      </c>
      <c r="M8" s="93">
        <f t="shared" si="6"/>
        <v>4234.778008333333</v>
      </c>
      <c r="N8" s="93">
        <f t="shared" si="6"/>
        <v>3985.7991583333333</v>
      </c>
      <c r="O8" s="93">
        <f t="shared" si="6"/>
        <v>3985.7991583333333</v>
      </c>
      <c r="P8" s="93">
        <f t="shared" si="6"/>
        <v>1793.411325</v>
      </c>
      <c r="Q8" s="93">
        <f t="shared" si="6"/>
        <v>1793.411325</v>
      </c>
      <c r="R8" s="93">
        <f t="shared" si="6"/>
        <v>1793.411325</v>
      </c>
      <c r="S8" s="93">
        <f t="shared" si="6"/>
        <v>1793.411325</v>
      </c>
      <c r="T8" s="93">
        <f t="shared" si="6"/>
        <v>1793.411325</v>
      </c>
      <c r="U8" s="93">
        <f t="shared" si="6"/>
        <v>1793.411325</v>
      </c>
      <c r="V8" s="93">
        <f t="shared" si="6"/>
        <v>1793.411325</v>
      </c>
      <c r="W8" s="93">
        <f t="shared" si="6"/>
        <v>1793.411325</v>
      </c>
    </row>
    <row r="9" spans="1:23" ht="15">
      <c r="A9" s="82" t="s">
        <v>117</v>
      </c>
      <c r="B9" s="87" t="s">
        <v>85</v>
      </c>
      <c r="C9" s="93">
        <f t="shared" si="2"/>
        <v>40666.669000000016</v>
      </c>
      <c r="D9" s="93">
        <f>'6 Depreciation of fixed assets'!D6</f>
        <v>3034.778008333333</v>
      </c>
      <c r="E9" s="93">
        <f>'6 Depreciation of fixed assets'!E6</f>
        <v>3034.778008333333</v>
      </c>
      <c r="F9" s="93">
        <f>'6 Depreciation of fixed assets'!F6</f>
        <v>3034.778008333333</v>
      </c>
      <c r="G9" s="93">
        <f>'6 Depreciation of fixed assets'!G6</f>
        <v>3034.778008333333</v>
      </c>
      <c r="H9" s="93">
        <f>'6 Depreciation of fixed assets'!H6</f>
        <v>3034.778008333333</v>
      </c>
      <c r="I9" s="93">
        <f>'6 Depreciation of fixed assets'!I6</f>
        <v>3034.778008333333</v>
      </c>
      <c r="J9" s="93">
        <f>'6 Depreciation of fixed assets'!J6</f>
        <v>3034.778008333333</v>
      </c>
      <c r="K9" s="93">
        <f>'6 Depreciation of fixed assets'!K6</f>
        <v>3034.778008333333</v>
      </c>
      <c r="L9" s="93">
        <f>'6 Depreciation of fixed assets'!L6</f>
        <v>3034.778008333333</v>
      </c>
      <c r="M9" s="93">
        <f>'6 Depreciation of fixed assets'!M6</f>
        <v>3034.778008333333</v>
      </c>
      <c r="N9" s="93">
        <f>'6 Depreciation of fixed assets'!N6</f>
        <v>2785.7991583333333</v>
      </c>
      <c r="O9" s="93">
        <f>'6 Depreciation of fixed assets'!O6</f>
        <v>2785.7991583333333</v>
      </c>
      <c r="P9" s="93">
        <f>'6 Depreciation of fixed assets'!P6</f>
        <v>593.411325</v>
      </c>
      <c r="Q9" s="93">
        <f>'6 Depreciation of fixed assets'!Q6</f>
        <v>593.411325</v>
      </c>
      <c r="R9" s="93">
        <f>'6 Depreciation of fixed assets'!R6</f>
        <v>593.411325</v>
      </c>
      <c r="S9" s="93">
        <f>'6 Depreciation of fixed assets'!S6</f>
        <v>593.411325</v>
      </c>
      <c r="T9" s="93">
        <f>'6 Depreciation of fixed assets'!T6</f>
        <v>593.411325</v>
      </c>
      <c r="U9" s="93">
        <f>'6 Depreciation of fixed assets'!U6</f>
        <v>593.411325</v>
      </c>
      <c r="V9" s="93">
        <f>'6 Depreciation of fixed assets'!V6</f>
        <v>593.411325</v>
      </c>
      <c r="W9" s="93">
        <f>'6 Depreciation of fixed assets'!W6</f>
        <v>593.411325</v>
      </c>
    </row>
    <row r="10" spans="1:23" ht="15">
      <c r="A10" s="82" t="s">
        <v>118</v>
      </c>
      <c r="B10" s="82" t="s">
        <v>119</v>
      </c>
      <c r="C10" s="93">
        <f t="shared" si="2"/>
        <v>24000</v>
      </c>
      <c r="D10" s="93">
        <v>1200</v>
      </c>
      <c r="E10" s="93">
        <f>D10</f>
        <v>1200</v>
      </c>
      <c r="F10" s="93">
        <f aca="true" t="shared" si="7" ref="F10:W10">E10</f>
        <v>1200</v>
      </c>
      <c r="G10" s="93">
        <f t="shared" si="7"/>
        <v>1200</v>
      </c>
      <c r="H10" s="93">
        <f t="shared" si="7"/>
        <v>1200</v>
      </c>
      <c r="I10" s="93">
        <f t="shared" si="7"/>
        <v>1200</v>
      </c>
      <c r="J10" s="93">
        <f t="shared" si="7"/>
        <v>1200</v>
      </c>
      <c r="K10" s="93">
        <f t="shared" si="7"/>
        <v>1200</v>
      </c>
      <c r="L10" s="93">
        <f t="shared" si="7"/>
        <v>1200</v>
      </c>
      <c r="M10" s="93">
        <f t="shared" si="7"/>
        <v>1200</v>
      </c>
      <c r="N10" s="93">
        <f t="shared" si="7"/>
        <v>1200</v>
      </c>
      <c r="O10" s="93">
        <f t="shared" si="7"/>
        <v>1200</v>
      </c>
      <c r="P10" s="93">
        <f t="shared" si="7"/>
        <v>1200</v>
      </c>
      <c r="Q10" s="93">
        <f t="shared" si="7"/>
        <v>1200</v>
      </c>
      <c r="R10" s="93">
        <f t="shared" si="7"/>
        <v>1200</v>
      </c>
      <c r="S10" s="93">
        <f t="shared" si="7"/>
        <v>1200</v>
      </c>
      <c r="T10" s="93">
        <f t="shared" si="7"/>
        <v>1200</v>
      </c>
      <c r="U10" s="93">
        <f t="shared" si="7"/>
        <v>1200</v>
      </c>
      <c r="V10" s="93">
        <f t="shared" si="7"/>
        <v>1200</v>
      </c>
      <c r="W10" s="93">
        <f t="shared" si="7"/>
        <v>1200</v>
      </c>
    </row>
    <row r="11" spans="1:22" ht="15">
      <c r="A11" s="82">
        <v>2</v>
      </c>
      <c r="B11" s="82" t="s">
        <v>120</v>
      </c>
      <c r="C11" s="93"/>
      <c r="D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</row>
    <row r="12" spans="1:23" ht="15">
      <c r="A12" s="82">
        <v>3</v>
      </c>
      <c r="B12" s="82" t="s">
        <v>121</v>
      </c>
      <c r="C12" s="93">
        <f t="shared" si="2"/>
        <v>8380.789999999999</v>
      </c>
      <c r="D12" s="93">
        <f>D13+D14</f>
        <v>678.106</v>
      </c>
      <c r="E12" s="93">
        <f aca="true" t="shared" si="8" ref="E12:W12">E13+E14</f>
        <v>678.106</v>
      </c>
      <c r="F12" s="93">
        <f t="shared" si="8"/>
        <v>678.106</v>
      </c>
      <c r="G12" s="93">
        <f t="shared" si="8"/>
        <v>678.106</v>
      </c>
      <c r="H12" s="93">
        <f t="shared" si="8"/>
        <v>678.106</v>
      </c>
      <c r="I12" s="93">
        <f t="shared" si="8"/>
        <v>598.052</v>
      </c>
      <c r="J12" s="93">
        <f t="shared" si="8"/>
        <v>598.052</v>
      </c>
      <c r="K12" s="93">
        <f t="shared" si="8"/>
        <v>598.052</v>
      </c>
      <c r="L12" s="93">
        <f t="shared" si="8"/>
        <v>598.052</v>
      </c>
      <c r="M12" s="93">
        <f t="shared" si="8"/>
        <v>598.052</v>
      </c>
      <c r="N12" s="93">
        <f t="shared" si="8"/>
        <v>200</v>
      </c>
      <c r="O12" s="93">
        <f t="shared" si="8"/>
        <v>200</v>
      </c>
      <c r="P12" s="93">
        <f t="shared" si="8"/>
        <v>200</v>
      </c>
      <c r="Q12" s="93">
        <f t="shared" si="8"/>
        <v>200</v>
      </c>
      <c r="R12" s="93">
        <f t="shared" si="8"/>
        <v>200</v>
      </c>
      <c r="S12" s="93">
        <f t="shared" si="8"/>
        <v>200</v>
      </c>
      <c r="T12" s="93">
        <f t="shared" si="8"/>
        <v>200</v>
      </c>
      <c r="U12" s="93">
        <f t="shared" si="8"/>
        <v>200</v>
      </c>
      <c r="V12" s="93">
        <f t="shared" si="8"/>
        <v>200</v>
      </c>
      <c r="W12" s="93">
        <f t="shared" si="8"/>
        <v>200</v>
      </c>
    </row>
    <row r="13" spans="1:22" ht="15">
      <c r="A13" s="82">
        <v>3.1</v>
      </c>
      <c r="B13" s="87" t="s">
        <v>90</v>
      </c>
      <c r="C13" s="93">
        <f t="shared" si="2"/>
        <v>4380.79</v>
      </c>
      <c r="D13" s="93">
        <f>'7Intangible &amp; deferred amortize'!D25</f>
        <v>478.106</v>
      </c>
      <c r="E13" s="93">
        <f>'7Intangible &amp; deferred amortize'!E25</f>
        <v>478.106</v>
      </c>
      <c r="F13" s="93">
        <f>'7Intangible &amp; deferred amortize'!F25</f>
        <v>478.106</v>
      </c>
      <c r="G13" s="93">
        <f>'7Intangible &amp; deferred amortize'!G25</f>
        <v>478.106</v>
      </c>
      <c r="H13" s="93">
        <f>'7Intangible &amp; deferred amortize'!H25</f>
        <v>478.106</v>
      </c>
      <c r="I13" s="93">
        <f>'7Intangible &amp; deferred amortize'!I25</f>
        <v>398.052</v>
      </c>
      <c r="J13" s="93">
        <f>'7Intangible &amp; deferred amortize'!J25</f>
        <v>398.052</v>
      </c>
      <c r="K13" s="93">
        <f>'7Intangible &amp; deferred amortize'!K25</f>
        <v>398.052</v>
      </c>
      <c r="L13" s="93">
        <f>'7Intangible &amp; deferred amortize'!L25</f>
        <v>398.052</v>
      </c>
      <c r="M13" s="93">
        <f>'7Intangible &amp; deferred amortize'!M25</f>
        <v>398.052</v>
      </c>
      <c r="N13" s="93"/>
      <c r="O13" s="93"/>
      <c r="P13" s="93"/>
      <c r="Q13" s="93"/>
      <c r="R13" s="93"/>
      <c r="S13" s="93"/>
      <c r="T13" s="93"/>
      <c r="U13" s="93"/>
      <c r="V13" s="93"/>
    </row>
    <row r="14" spans="1:23" ht="15">
      <c r="A14" s="82">
        <v>3.2</v>
      </c>
      <c r="B14" s="82" t="s">
        <v>119</v>
      </c>
      <c r="C14" s="93">
        <f t="shared" si="2"/>
        <v>4000</v>
      </c>
      <c r="D14" s="93">
        <v>200</v>
      </c>
      <c r="E14" s="93">
        <f>D14</f>
        <v>200</v>
      </c>
      <c r="F14" s="93">
        <f aca="true" t="shared" si="9" ref="F14:W14">E14</f>
        <v>200</v>
      </c>
      <c r="G14" s="93">
        <f t="shared" si="9"/>
        <v>200</v>
      </c>
      <c r="H14" s="93">
        <f t="shared" si="9"/>
        <v>200</v>
      </c>
      <c r="I14" s="93">
        <f t="shared" si="9"/>
        <v>200</v>
      </c>
      <c r="J14" s="93">
        <f t="shared" si="9"/>
        <v>200</v>
      </c>
      <c r="K14" s="93">
        <f t="shared" si="9"/>
        <v>200</v>
      </c>
      <c r="L14" s="93">
        <f t="shared" si="9"/>
        <v>200</v>
      </c>
      <c r="M14" s="93">
        <f t="shared" si="9"/>
        <v>200</v>
      </c>
      <c r="N14" s="93">
        <f t="shared" si="9"/>
        <v>200</v>
      </c>
      <c r="O14" s="93">
        <f t="shared" si="9"/>
        <v>200</v>
      </c>
      <c r="P14" s="93">
        <f t="shared" si="9"/>
        <v>200</v>
      </c>
      <c r="Q14" s="93">
        <f t="shared" si="9"/>
        <v>200</v>
      </c>
      <c r="R14" s="93">
        <f t="shared" si="9"/>
        <v>200</v>
      </c>
      <c r="S14" s="93">
        <f t="shared" si="9"/>
        <v>200</v>
      </c>
      <c r="T14" s="93">
        <f t="shared" si="9"/>
        <v>200</v>
      </c>
      <c r="U14" s="93">
        <f t="shared" si="9"/>
        <v>200</v>
      </c>
      <c r="V14" s="93">
        <f t="shared" si="9"/>
        <v>200</v>
      </c>
      <c r="W14" s="93">
        <f t="shared" si="9"/>
        <v>200</v>
      </c>
    </row>
    <row r="15" spans="1:23" ht="15">
      <c r="A15" s="82">
        <v>4</v>
      </c>
      <c r="B15" s="111" t="s">
        <v>122</v>
      </c>
      <c r="C15" s="93">
        <f t="shared" si="2"/>
        <v>10707.500306590531</v>
      </c>
      <c r="D15" s="93">
        <f>'8 interest'!G11+'8 interest'!E18</f>
        <v>2077.10170624512</v>
      </c>
      <c r="E15" s="93">
        <f>'8 interest'!H11+'8 interest'!F18</f>
        <v>1941.6522583574395</v>
      </c>
      <c r="F15" s="93">
        <f>'8 interest'!I11+'8 interest'!G18</f>
        <v>1702.2046194315626</v>
      </c>
      <c r="G15" s="93">
        <f>'8 interest'!J11+'8 interest'!H18</f>
        <v>1448.1027850034222</v>
      </c>
      <c r="H15" s="93">
        <f>'8 interest'!K11+'8 interest'!I18</f>
        <v>1194.3338121227252</v>
      </c>
      <c r="I15" s="93">
        <f>'8 interest'!L11+'8 interest'!J18</f>
        <v>937.0177098178842</v>
      </c>
      <c r="J15" s="93">
        <f>'8 interest'!M11+'8 interest'!K18</f>
        <v>672.1507410056262</v>
      </c>
      <c r="K15" s="93">
        <f>'8 interest'!N11+'8 interest'!L18</f>
        <v>397.509227523108</v>
      </c>
      <c r="L15" s="93">
        <f>'8 interest'!O11+'8 interest'!M18</f>
        <v>112.73245348363648</v>
      </c>
      <c r="M15" s="93">
        <f>'8 interest'!P11+'8 interest'!N18</f>
        <v>20.426817599999996</v>
      </c>
      <c r="N15" s="93">
        <f>'8 interest'!Q11+'8 interest'!O18</f>
        <v>20.426817599999996</v>
      </c>
      <c r="O15" s="93">
        <f>'8 interest'!R11+'8 interest'!P18</f>
        <v>20.426817599999996</v>
      </c>
      <c r="P15" s="93">
        <f>'8 interest'!S11+'8 interest'!Q18</f>
        <v>20.426817599999996</v>
      </c>
      <c r="Q15" s="93">
        <f>'8 interest'!T11+'8 interest'!R18</f>
        <v>20.426817599999996</v>
      </c>
      <c r="R15" s="93">
        <f>'8 interest'!U11+'8 interest'!S18</f>
        <v>20.426817599999996</v>
      </c>
      <c r="S15" s="93">
        <f>'8 interest'!V11+'8 interest'!T18</f>
        <v>20.426817599999996</v>
      </c>
      <c r="T15" s="93">
        <f>'8 interest'!W11+'8 interest'!U18</f>
        <v>20.426817599999996</v>
      </c>
      <c r="U15" s="93">
        <f>'8 interest'!X11+'8 interest'!V18</f>
        <v>20.426817599999996</v>
      </c>
      <c r="V15" s="93">
        <f>'8 interest'!Y11+'8 interest'!W18</f>
        <v>20.426817599999996</v>
      </c>
      <c r="W15" s="93">
        <f>'8 interest'!Z11+'8 interest'!X18</f>
        <v>20.426817599999996</v>
      </c>
    </row>
    <row r="16" spans="1:23" ht="15">
      <c r="A16" s="82">
        <v>5</v>
      </c>
      <c r="B16" s="82" t="s">
        <v>123</v>
      </c>
      <c r="C16" s="93">
        <f t="shared" si="2"/>
        <v>170607.45988625256</v>
      </c>
      <c r="D16" s="93">
        <f>D4+D11+D12+D15</f>
        <v>10587.067051130452</v>
      </c>
      <c r="E16" s="93">
        <f aca="true" t="shared" si="10" ref="E16:W16">E4+E11+E12+E15</f>
        <v>11236.400437380771</v>
      </c>
      <c r="F16" s="93">
        <f t="shared" si="10"/>
        <v>10996.952798454895</v>
      </c>
      <c r="G16" s="93">
        <f t="shared" si="10"/>
        <v>10742.850964026755</v>
      </c>
      <c r="H16" s="93">
        <f t="shared" si="10"/>
        <v>10489.081991146057</v>
      </c>
      <c r="I16" s="93">
        <f t="shared" si="10"/>
        <v>10151.711888841217</v>
      </c>
      <c r="J16" s="93">
        <f t="shared" si="10"/>
        <v>9886.844920028958</v>
      </c>
      <c r="K16" s="93">
        <f t="shared" si="10"/>
        <v>9612.20340654644</v>
      </c>
      <c r="L16" s="93">
        <f t="shared" si="10"/>
        <v>9327.42663250697</v>
      </c>
      <c r="M16" s="93">
        <f t="shared" si="10"/>
        <v>9235.120996623333</v>
      </c>
      <c r="N16" s="93">
        <f t="shared" si="10"/>
        <v>8588.090146623334</v>
      </c>
      <c r="O16" s="93">
        <f t="shared" si="10"/>
        <v>8588.090146623334</v>
      </c>
      <c r="P16" s="93">
        <f t="shared" si="10"/>
        <v>6395.702313289999</v>
      </c>
      <c r="Q16" s="93">
        <f t="shared" si="10"/>
        <v>6395.702313289999</v>
      </c>
      <c r="R16" s="93">
        <f t="shared" si="10"/>
        <v>6395.702313289999</v>
      </c>
      <c r="S16" s="93">
        <f t="shared" si="10"/>
        <v>6395.702313289999</v>
      </c>
      <c r="T16" s="93">
        <f t="shared" si="10"/>
        <v>6395.702313289999</v>
      </c>
      <c r="U16" s="93">
        <f t="shared" si="10"/>
        <v>6395.702313289999</v>
      </c>
      <c r="V16" s="93">
        <f t="shared" si="10"/>
        <v>6395.702313289999</v>
      </c>
      <c r="W16" s="93">
        <f t="shared" si="10"/>
        <v>6395.702313289999</v>
      </c>
    </row>
    <row r="17" spans="1:23" ht="15">
      <c r="A17" s="82">
        <v>6</v>
      </c>
      <c r="B17" s="82" t="s">
        <v>124</v>
      </c>
      <c r="C17" s="93">
        <f t="shared" si="2"/>
        <v>114852.50057966195</v>
      </c>
      <c r="D17" s="93">
        <f>D16-D9-D13-D15</f>
        <v>4997.081336552</v>
      </c>
      <c r="E17" s="93">
        <f aca="true" t="shared" si="11" ref="E17:W17">E16-E9-E13-E15</f>
        <v>5781.864170689999</v>
      </c>
      <c r="F17" s="93">
        <f t="shared" si="11"/>
        <v>5781.86417069</v>
      </c>
      <c r="G17" s="93">
        <f t="shared" si="11"/>
        <v>5781.86417069</v>
      </c>
      <c r="H17" s="93">
        <f t="shared" si="11"/>
        <v>5781.864170689999</v>
      </c>
      <c r="I17" s="93">
        <f t="shared" si="11"/>
        <v>5781.86417069</v>
      </c>
      <c r="J17" s="93">
        <f t="shared" si="11"/>
        <v>5781.864170689999</v>
      </c>
      <c r="K17" s="93">
        <f t="shared" si="11"/>
        <v>5781.864170689999</v>
      </c>
      <c r="L17" s="93">
        <f t="shared" si="11"/>
        <v>5781.864170690001</v>
      </c>
      <c r="M17" s="93">
        <f t="shared" si="11"/>
        <v>5781.864170690001</v>
      </c>
      <c r="N17" s="93">
        <f t="shared" si="11"/>
        <v>5781.864170690001</v>
      </c>
      <c r="O17" s="93">
        <f t="shared" si="11"/>
        <v>5781.864170690001</v>
      </c>
      <c r="P17" s="93">
        <f t="shared" si="11"/>
        <v>5781.86417069</v>
      </c>
      <c r="Q17" s="93">
        <f t="shared" si="11"/>
        <v>5781.86417069</v>
      </c>
      <c r="R17" s="93">
        <f t="shared" si="11"/>
        <v>5781.86417069</v>
      </c>
      <c r="S17" s="93">
        <f t="shared" si="11"/>
        <v>5781.86417069</v>
      </c>
      <c r="T17" s="93">
        <f t="shared" si="11"/>
        <v>5781.86417069</v>
      </c>
      <c r="U17" s="93">
        <f t="shared" si="11"/>
        <v>5781.86417069</v>
      </c>
      <c r="V17" s="93">
        <f t="shared" si="11"/>
        <v>5781.86417069</v>
      </c>
      <c r="W17" s="93">
        <f t="shared" si="11"/>
        <v>5781.86417069</v>
      </c>
    </row>
    <row r="18" spans="3:22" ht="1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</row>
    <row r="19" spans="3:22" ht="15"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</row>
    <row r="20" spans="3:22" ht="15"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</row>
    <row r="21" spans="3:22" ht="15"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3:22" ht="15"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</row>
    <row r="23" spans="3:22" ht="15"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</row>
    <row r="24" spans="3:22" ht="15"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3:22" ht="1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</row>
    <row r="26" spans="3:22" ht="15"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</row>
  </sheetData>
  <mergeCells count="1">
    <mergeCell ref="A1:B1"/>
  </mergeCells>
  <printOptions/>
  <pageMargins left="0.75" right="0.75" top="1" bottom="1" header="0.5" footer="0.5"/>
  <pageSetup orientation="portrait" paperSize="9"/>
  <ignoredErrors>
    <ignoredError sqref="F4:W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G6" sqref="G6"/>
    </sheetView>
  </sheetViews>
  <sheetFormatPr defaultColWidth="9.00390625" defaultRowHeight="13.5"/>
  <cols>
    <col min="1" max="1" width="5.875" style="82" customWidth="1"/>
    <col min="2" max="2" width="38.00390625" style="82" customWidth="1"/>
    <col min="3" max="3" width="9.625" style="82" bestFit="1" customWidth="1"/>
    <col min="4" max="5" width="9.25390625" style="82" bestFit="1" customWidth="1"/>
    <col min="6" max="6" width="9.625" style="82" bestFit="1" customWidth="1"/>
    <col min="7" max="15" width="9.25390625" style="82" bestFit="1" customWidth="1"/>
    <col min="16" max="23" width="9.375" style="82" bestFit="1" customWidth="1"/>
    <col min="24" max="16384" width="9.00390625" style="82" customWidth="1"/>
  </cols>
  <sheetData>
    <row r="1" spans="1:23" ht="34.5" customHeight="1">
      <c r="A1" s="163" t="s">
        <v>96</v>
      </c>
      <c r="B1" s="16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5">
      <c r="A2" s="94" t="s">
        <v>0</v>
      </c>
      <c r="B2" s="8" t="s">
        <v>4</v>
      </c>
      <c r="C2" s="83" t="s">
        <v>106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</row>
    <row r="3" spans="2:23" ht="15">
      <c r="B3" s="82" t="s">
        <v>105</v>
      </c>
      <c r="D3" s="82">
        <v>80</v>
      </c>
      <c r="E3" s="82">
        <v>100</v>
      </c>
      <c r="F3" s="82">
        <f>E3</f>
        <v>100</v>
      </c>
      <c r="G3" s="82">
        <f aca="true" t="shared" si="0" ref="G3:W3">F3</f>
        <v>100</v>
      </c>
      <c r="H3" s="82">
        <f t="shared" si="0"/>
        <v>100</v>
      </c>
      <c r="I3" s="82">
        <f t="shared" si="0"/>
        <v>100</v>
      </c>
      <c r="J3" s="82">
        <f t="shared" si="0"/>
        <v>100</v>
      </c>
      <c r="K3" s="82">
        <f t="shared" si="0"/>
        <v>100</v>
      </c>
      <c r="L3" s="82">
        <f t="shared" si="0"/>
        <v>100</v>
      </c>
      <c r="M3" s="82">
        <f t="shared" si="0"/>
        <v>100</v>
      </c>
      <c r="N3" s="82">
        <f t="shared" si="0"/>
        <v>100</v>
      </c>
      <c r="O3" s="82">
        <f t="shared" si="0"/>
        <v>100</v>
      </c>
      <c r="P3" s="82">
        <f t="shared" si="0"/>
        <v>100</v>
      </c>
      <c r="Q3" s="82">
        <f t="shared" si="0"/>
        <v>100</v>
      </c>
      <c r="R3" s="82">
        <f t="shared" si="0"/>
        <v>100</v>
      </c>
      <c r="S3" s="82">
        <f t="shared" si="0"/>
        <v>100</v>
      </c>
      <c r="T3" s="82">
        <f t="shared" si="0"/>
        <v>100</v>
      </c>
      <c r="U3" s="82">
        <f t="shared" si="0"/>
        <v>100</v>
      </c>
      <c r="V3" s="82">
        <f t="shared" si="0"/>
        <v>100</v>
      </c>
      <c r="W3" s="82">
        <f t="shared" si="0"/>
        <v>100</v>
      </c>
    </row>
    <row r="4" spans="1:23" ht="15">
      <c r="A4" s="82">
        <v>1</v>
      </c>
      <c r="B4" s="101" t="s">
        <v>22</v>
      </c>
      <c r="C4" s="93">
        <f aca="true" t="shared" si="1" ref="C4:C15">SUM(D4:W4)</f>
        <v>259442.7984720001</v>
      </c>
      <c r="D4" s="93">
        <f>E4*D3/100</f>
        <v>10482.537312</v>
      </c>
      <c r="E4" s="104">
        <f>'2 Sale revenue and VAT'!C2</f>
        <v>13103.17164</v>
      </c>
      <c r="F4" s="93">
        <f>E4</f>
        <v>13103.17164</v>
      </c>
      <c r="G4" s="93">
        <f aca="true" t="shared" si="2" ref="G4:W4">F4</f>
        <v>13103.17164</v>
      </c>
      <c r="H4" s="93">
        <f t="shared" si="2"/>
        <v>13103.17164</v>
      </c>
      <c r="I4" s="93">
        <f t="shared" si="2"/>
        <v>13103.17164</v>
      </c>
      <c r="J4" s="93">
        <f t="shared" si="2"/>
        <v>13103.17164</v>
      </c>
      <c r="K4" s="93">
        <f t="shared" si="2"/>
        <v>13103.17164</v>
      </c>
      <c r="L4" s="93">
        <f t="shared" si="2"/>
        <v>13103.17164</v>
      </c>
      <c r="M4" s="93">
        <f t="shared" si="2"/>
        <v>13103.17164</v>
      </c>
      <c r="N4" s="93">
        <f t="shared" si="2"/>
        <v>13103.17164</v>
      </c>
      <c r="O4" s="93">
        <f t="shared" si="2"/>
        <v>13103.17164</v>
      </c>
      <c r="P4" s="93">
        <f t="shared" si="2"/>
        <v>13103.17164</v>
      </c>
      <c r="Q4" s="93">
        <f t="shared" si="2"/>
        <v>13103.17164</v>
      </c>
      <c r="R4" s="93">
        <f t="shared" si="2"/>
        <v>13103.17164</v>
      </c>
      <c r="S4" s="93">
        <f t="shared" si="2"/>
        <v>13103.17164</v>
      </c>
      <c r="T4" s="93">
        <f t="shared" si="2"/>
        <v>13103.17164</v>
      </c>
      <c r="U4" s="93">
        <f t="shared" si="2"/>
        <v>13103.17164</v>
      </c>
      <c r="V4" s="93">
        <f t="shared" si="2"/>
        <v>13103.17164</v>
      </c>
      <c r="W4" s="93">
        <f t="shared" si="2"/>
        <v>13103.17164</v>
      </c>
    </row>
    <row r="5" spans="1:23" ht="15">
      <c r="A5" s="82">
        <v>2</v>
      </c>
      <c r="B5" s="102" t="s">
        <v>76</v>
      </c>
      <c r="C5" s="93">
        <f t="shared" si="1"/>
        <v>29048.819406724102</v>
      </c>
      <c r="D5" s="93">
        <f>E5*D3/100</f>
        <v>1173.689672998954</v>
      </c>
      <c r="E5" s="93">
        <f>'2 Sale revenue and VAT'!C11</f>
        <v>1467.1120912486924</v>
      </c>
      <c r="F5" s="93">
        <f>E5</f>
        <v>1467.1120912486924</v>
      </c>
      <c r="G5" s="93">
        <f aca="true" t="shared" si="3" ref="G5:W5">F5</f>
        <v>1467.1120912486924</v>
      </c>
      <c r="H5" s="93">
        <f t="shared" si="3"/>
        <v>1467.1120912486924</v>
      </c>
      <c r="I5" s="93">
        <f t="shared" si="3"/>
        <v>1467.1120912486924</v>
      </c>
      <c r="J5" s="93">
        <f t="shared" si="3"/>
        <v>1467.1120912486924</v>
      </c>
      <c r="K5" s="93">
        <f t="shared" si="3"/>
        <v>1467.1120912486924</v>
      </c>
      <c r="L5" s="93">
        <f t="shared" si="3"/>
        <v>1467.1120912486924</v>
      </c>
      <c r="M5" s="93">
        <f t="shared" si="3"/>
        <v>1467.1120912486924</v>
      </c>
      <c r="N5" s="93">
        <f t="shared" si="3"/>
        <v>1467.1120912486924</v>
      </c>
      <c r="O5" s="93">
        <f t="shared" si="3"/>
        <v>1467.1120912486924</v>
      </c>
      <c r="P5" s="93">
        <f t="shared" si="3"/>
        <v>1467.1120912486924</v>
      </c>
      <c r="Q5" s="93">
        <f t="shared" si="3"/>
        <v>1467.1120912486924</v>
      </c>
      <c r="R5" s="93">
        <f t="shared" si="3"/>
        <v>1467.1120912486924</v>
      </c>
      <c r="S5" s="93">
        <f t="shared" si="3"/>
        <v>1467.1120912486924</v>
      </c>
      <c r="T5" s="93">
        <f t="shared" si="3"/>
        <v>1467.1120912486924</v>
      </c>
      <c r="U5" s="93">
        <f t="shared" si="3"/>
        <v>1467.1120912486924</v>
      </c>
      <c r="V5" s="93">
        <f t="shared" si="3"/>
        <v>1467.1120912486924</v>
      </c>
      <c r="W5" s="93">
        <f t="shared" si="3"/>
        <v>1467.1120912486924</v>
      </c>
    </row>
    <row r="6" spans="1:23" ht="15">
      <c r="A6" s="82">
        <v>3</v>
      </c>
      <c r="B6" s="111" t="s">
        <v>107</v>
      </c>
      <c r="C6" s="93">
        <f t="shared" si="1"/>
        <v>170607.45988625256</v>
      </c>
      <c r="D6" s="93">
        <f>'4 Total expense cost'!D16</f>
        <v>10587.067051130452</v>
      </c>
      <c r="E6" s="93">
        <f>'4 Total expense cost'!E16</f>
        <v>11236.400437380771</v>
      </c>
      <c r="F6" s="93">
        <f>'4 Total expense cost'!F16</f>
        <v>10996.952798454895</v>
      </c>
      <c r="G6" s="93">
        <f>'4 Total expense cost'!G16</f>
        <v>10742.850964026755</v>
      </c>
      <c r="H6" s="93">
        <f>'4 Total expense cost'!H16</f>
        <v>10489.081991146057</v>
      </c>
      <c r="I6" s="93">
        <f>'4 Total expense cost'!I16</f>
        <v>10151.711888841217</v>
      </c>
      <c r="J6" s="93">
        <f>'4 Total expense cost'!J16</f>
        <v>9886.844920028958</v>
      </c>
      <c r="K6" s="93">
        <f>'4 Total expense cost'!K16</f>
        <v>9612.20340654644</v>
      </c>
      <c r="L6" s="93">
        <f>'4 Total expense cost'!L16</f>
        <v>9327.42663250697</v>
      </c>
      <c r="M6" s="93">
        <f>'4 Total expense cost'!M16</f>
        <v>9235.120996623333</v>
      </c>
      <c r="N6" s="93">
        <f>'4 Total expense cost'!N16</f>
        <v>8588.090146623334</v>
      </c>
      <c r="O6" s="93">
        <f>'4 Total expense cost'!O16</f>
        <v>8588.090146623334</v>
      </c>
      <c r="P6" s="93">
        <f>'4 Total expense cost'!P16</f>
        <v>6395.702313289999</v>
      </c>
      <c r="Q6" s="93">
        <f>'4 Total expense cost'!Q16</f>
        <v>6395.702313289999</v>
      </c>
      <c r="R6" s="93">
        <f>'4 Total expense cost'!R16</f>
        <v>6395.702313289999</v>
      </c>
      <c r="S6" s="93">
        <f>'4 Total expense cost'!S16</f>
        <v>6395.702313289999</v>
      </c>
      <c r="T6" s="93">
        <f>'4 Total expense cost'!T16</f>
        <v>6395.702313289999</v>
      </c>
      <c r="U6" s="93">
        <f>'4 Total expense cost'!U16</f>
        <v>6395.702313289999</v>
      </c>
      <c r="V6" s="93">
        <f>'4 Total expense cost'!V16</f>
        <v>6395.702313289999</v>
      </c>
      <c r="W6" s="93">
        <f>'4 Total expense cost'!W16</f>
        <v>6395.702313289999</v>
      </c>
    </row>
    <row r="7" spans="1:23" ht="15">
      <c r="A7" s="82">
        <v>4</v>
      </c>
      <c r="B7" s="82" t="s">
        <v>127</v>
      </c>
      <c r="C7" s="93">
        <f t="shared" si="1"/>
        <v>59786.519179023366</v>
      </c>
      <c r="D7" s="93">
        <f>D4-D5-D6</f>
        <v>-1278.219412129405</v>
      </c>
      <c r="E7" s="93">
        <f aca="true" t="shared" si="4" ref="E7:W7">E4-E5-E6</f>
        <v>399.65911137053627</v>
      </c>
      <c r="F7" s="93">
        <f t="shared" si="4"/>
        <v>639.1067502964124</v>
      </c>
      <c r="G7" s="93">
        <f t="shared" si="4"/>
        <v>893.2085847245526</v>
      </c>
      <c r="H7" s="93">
        <f t="shared" si="4"/>
        <v>1146.9775576052507</v>
      </c>
      <c r="I7" s="93">
        <f t="shared" si="4"/>
        <v>1484.3476599100904</v>
      </c>
      <c r="J7" s="93">
        <f t="shared" si="4"/>
        <v>1749.2146287223495</v>
      </c>
      <c r="K7" s="93">
        <f t="shared" si="4"/>
        <v>2023.8561422048679</v>
      </c>
      <c r="L7" s="93">
        <f t="shared" si="4"/>
        <v>2308.632916244338</v>
      </c>
      <c r="M7" s="93">
        <f t="shared" si="4"/>
        <v>2400.9385521279746</v>
      </c>
      <c r="N7" s="93">
        <f t="shared" si="4"/>
        <v>3047.969402127974</v>
      </c>
      <c r="O7" s="93">
        <f t="shared" si="4"/>
        <v>3047.969402127974</v>
      </c>
      <c r="P7" s="93">
        <f t="shared" si="4"/>
        <v>5240.357235461308</v>
      </c>
      <c r="Q7" s="93">
        <f t="shared" si="4"/>
        <v>5240.357235461308</v>
      </c>
      <c r="R7" s="93">
        <f t="shared" si="4"/>
        <v>5240.357235461308</v>
      </c>
      <c r="S7" s="93">
        <f t="shared" si="4"/>
        <v>5240.357235461308</v>
      </c>
      <c r="T7" s="93">
        <f t="shared" si="4"/>
        <v>5240.357235461308</v>
      </c>
      <c r="U7" s="93">
        <f t="shared" si="4"/>
        <v>5240.357235461308</v>
      </c>
      <c r="V7" s="93">
        <f t="shared" si="4"/>
        <v>5240.357235461308</v>
      </c>
      <c r="W7" s="93">
        <f t="shared" si="4"/>
        <v>5240.357235461308</v>
      </c>
    </row>
    <row r="8" spans="1:23" ht="15">
      <c r="A8" s="82">
        <v>5</v>
      </c>
      <c r="B8" s="82" t="s">
        <v>130</v>
      </c>
      <c r="C8" s="93">
        <f t="shared" si="1"/>
        <v>1278.219412129405</v>
      </c>
      <c r="D8" s="93">
        <f>IF(C17&lt;0,IF(D7&gt;0,IF((D7+C17)&gt;0,-C17,D7),0),0)</f>
        <v>0</v>
      </c>
      <c r="E8" s="93">
        <f aca="true" t="shared" si="5" ref="E8:W8">IF(D17&lt;0,IF(E7&gt;0,IF((E7+D17)&gt;0,-D17,E7),0),0)</f>
        <v>399.65911137053627</v>
      </c>
      <c r="F8" s="93">
        <f t="shared" si="5"/>
        <v>639.1067502964124</v>
      </c>
      <c r="G8" s="93">
        <f t="shared" si="5"/>
        <v>239.4535504624564</v>
      </c>
      <c r="H8" s="93">
        <f t="shared" si="5"/>
        <v>0</v>
      </c>
      <c r="I8" s="93">
        <f t="shared" si="5"/>
        <v>0</v>
      </c>
      <c r="J8" s="93">
        <f t="shared" si="5"/>
        <v>0</v>
      </c>
      <c r="K8" s="93">
        <f t="shared" si="5"/>
        <v>0</v>
      </c>
      <c r="L8" s="93">
        <f t="shared" si="5"/>
        <v>0</v>
      </c>
      <c r="M8" s="93">
        <f t="shared" si="5"/>
        <v>0</v>
      </c>
      <c r="N8" s="93">
        <f t="shared" si="5"/>
        <v>0</v>
      </c>
      <c r="O8" s="93">
        <f t="shared" si="5"/>
        <v>0</v>
      </c>
      <c r="P8" s="93">
        <f t="shared" si="5"/>
        <v>0</v>
      </c>
      <c r="Q8" s="93">
        <f t="shared" si="5"/>
        <v>0</v>
      </c>
      <c r="R8" s="93">
        <f t="shared" si="5"/>
        <v>0</v>
      </c>
      <c r="S8" s="93">
        <f t="shared" si="5"/>
        <v>0</v>
      </c>
      <c r="T8" s="93">
        <f t="shared" si="5"/>
        <v>0</v>
      </c>
      <c r="U8" s="93">
        <f t="shared" si="5"/>
        <v>0</v>
      </c>
      <c r="V8" s="93">
        <f t="shared" si="5"/>
        <v>0</v>
      </c>
      <c r="W8" s="93">
        <f t="shared" si="5"/>
        <v>0</v>
      </c>
    </row>
    <row r="9" spans="1:23" ht="15">
      <c r="A9" s="82">
        <v>6</v>
      </c>
      <c r="B9" s="82" t="s">
        <v>129</v>
      </c>
      <c r="C9" s="93">
        <f t="shared" si="1"/>
        <v>58508.29976689396</v>
      </c>
      <c r="D9" s="93">
        <f>D7-D8</f>
        <v>-1278.219412129405</v>
      </c>
      <c r="E9" s="93">
        <f aca="true" t="shared" si="6" ref="E9:W9">E7-E8</f>
        <v>0</v>
      </c>
      <c r="F9" s="93">
        <f t="shared" si="6"/>
        <v>0</v>
      </c>
      <c r="G9" s="93">
        <f t="shared" si="6"/>
        <v>653.7550342620962</v>
      </c>
      <c r="H9" s="93">
        <f t="shared" si="6"/>
        <v>1146.9775576052507</v>
      </c>
      <c r="I9" s="93">
        <f t="shared" si="6"/>
        <v>1484.3476599100904</v>
      </c>
      <c r="J9" s="93">
        <f t="shared" si="6"/>
        <v>1749.2146287223495</v>
      </c>
      <c r="K9" s="93">
        <f t="shared" si="6"/>
        <v>2023.8561422048679</v>
      </c>
      <c r="L9" s="93">
        <f t="shared" si="6"/>
        <v>2308.632916244338</v>
      </c>
      <c r="M9" s="93">
        <f t="shared" si="6"/>
        <v>2400.9385521279746</v>
      </c>
      <c r="N9" s="93">
        <f t="shared" si="6"/>
        <v>3047.969402127974</v>
      </c>
      <c r="O9" s="93">
        <f t="shared" si="6"/>
        <v>3047.969402127974</v>
      </c>
      <c r="P9" s="93">
        <f t="shared" si="6"/>
        <v>5240.357235461308</v>
      </c>
      <c r="Q9" s="93">
        <f t="shared" si="6"/>
        <v>5240.357235461308</v>
      </c>
      <c r="R9" s="93">
        <f t="shared" si="6"/>
        <v>5240.357235461308</v>
      </c>
      <c r="S9" s="93">
        <f t="shared" si="6"/>
        <v>5240.357235461308</v>
      </c>
      <c r="T9" s="93">
        <f t="shared" si="6"/>
        <v>5240.357235461308</v>
      </c>
      <c r="U9" s="93">
        <f t="shared" si="6"/>
        <v>5240.357235461308</v>
      </c>
      <c r="V9" s="93">
        <f t="shared" si="6"/>
        <v>5240.357235461308</v>
      </c>
      <c r="W9" s="93">
        <f t="shared" si="6"/>
        <v>5240.357235461308</v>
      </c>
    </row>
    <row r="10" spans="1:23" ht="15">
      <c r="A10" s="82">
        <v>7</v>
      </c>
      <c r="B10" s="82" t="s">
        <v>125</v>
      </c>
      <c r="C10" s="93">
        <f t="shared" si="1"/>
        <v>19729.551329077716</v>
      </c>
      <c r="D10" s="93">
        <f>IF(D9&gt;0,D9*0.33,0)</f>
        <v>0</v>
      </c>
      <c r="E10" s="93">
        <f aca="true" t="shared" si="7" ref="E10:W10">IF(E9&gt;0,E9*0.33,0)</f>
        <v>0</v>
      </c>
      <c r="F10" s="93">
        <f t="shared" si="7"/>
        <v>0</v>
      </c>
      <c r="G10" s="93">
        <f t="shared" si="7"/>
        <v>215.73916130649175</v>
      </c>
      <c r="H10" s="93">
        <f t="shared" si="7"/>
        <v>378.5025940097328</v>
      </c>
      <c r="I10" s="93">
        <f t="shared" si="7"/>
        <v>489.8347277703299</v>
      </c>
      <c r="J10" s="93">
        <f t="shared" si="7"/>
        <v>577.2408274783754</v>
      </c>
      <c r="K10" s="93">
        <f t="shared" si="7"/>
        <v>667.8725269276064</v>
      </c>
      <c r="L10" s="93">
        <f t="shared" si="7"/>
        <v>761.8488623606316</v>
      </c>
      <c r="M10" s="93">
        <f t="shared" si="7"/>
        <v>792.3097222022317</v>
      </c>
      <c r="N10" s="93">
        <f t="shared" si="7"/>
        <v>1005.8299027022314</v>
      </c>
      <c r="O10" s="93">
        <f t="shared" si="7"/>
        <v>1005.8299027022314</v>
      </c>
      <c r="P10" s="93">
        <f t="shared" si="7"/>
        <v>1729.3178877022317</v>
      </c>
      <c r="Q10" s="93">
        <f t="shared" si="7"/>
        <v>1729.3178877022317</v>
      </c>
      <c r="R10" s="93">
        <f t="shared" si="7"/>
        <v>1729.3178877022317</v>
      </c>
      <c r="S10" s="93">
        <f t="shared" si="7"/>
        <v>1729.3178877022317</v>
      </c>
      <c r="T10" s="93">
        <f t="shared" si="7"/>
        <v>1729.3178877022317</v>
      </c>
      <c r="U10" s="93">
        <f t="shared" si="7"/>
        <v>1729.3178877022317</v>
      </c>
      <c r="V10" s="93">
        <f t="shared" si="7"/>
        <v>1729.3178877022317</v>
      </c>
      <c r="W10" s="93">
        <f t="shared" si="7"/>
        <v>1729.3178877022317</v>
      </c>
    </row>
    <row r="11" spans="1:23" ht="16.5" customHeight="1">
      <c r="A11" s="82">
        <v>8</v>
      </c>
      <c r="B11" s="82" t="s">
        <v>126</v>
      </c>
      <c r="C11" s="93">
        <f t="shared" si="1"/>
        <v>40056.967849945664</v>
      </c>
      <c r="D11" s="93">
        <f>D7-D10</f>
        <v>-1278.219412129405</v>
      </c>
      <c r="E11" s="93">
        <f aca="true" t="shared" si="8" ref="E11:W11">E7-E10</f>
        <v>399.65911137053627</v>
      </c>
      <c r="F11" s="93">
        <f t="shared" si="8"/>
        <v>639.1067502964124</v>
      </c>
      <c r="G11" s="93">
        <f t="shared" si="8"/>
        <v>677.4694234180608</v>
      </c>
      <c r="H11" s="93">
        <f t="shared" si="8"/>
        <v>768.4749635955179</v>
      </c>
      <c r="I11" s="93">
        <f t="shared" si="8"/>
        <v>994.5129321397606</v>
      </c>
      <c r="J11" s="93">
        <f t="shared" si="8"/>
        <v>1171.973801243974</v>
      </c>
      <c r="K11" s="93">
        <f t="shared" si="8"/>
        <v>1355.9836152772614</v>
      </c>
      <c r="L11" s="93">
        <f t="shared" si="8"/>
        <v>1546.7840538837063</v>
      </c>
      <c r="M11" s="93">
        <f t="shared" si="8"/>
        <v>1608.628829925743</v>
      </c>
      <c r="N11" s="93">
        <f t="shared" si="8"/>
        <v>2042.1394994257425</v>
      </c>
      <c r="O11" s="93">
        <f t="shared" si="8"/>
        <v>2042.1394994257425</v>
      </c>
      <c r="P11" s="93">
        <f t="shared" si="8"/>
        <v>3511.039347759076</v>
      </c>
      <c r="Q11" s="93">
        <f t="shared" si="8"/>
        <v>3511.039347759076</v>
      </c>
      <c r="R11" s="93">
        <f t="shared" si="8"/>
        <v>3511.039347759076</v>
      </c>
      <c r="S11" s="93">
        <f t="shared" si="8"/>
        <v>3511.039347759076</v>
      </c>
      <c r="T11" s="93">
        <f t="shared" si="8"/>
        <v>3511.039347759076</v>
      </c>
      <c r="U11" s="93">
        <f t="shared" si="8"/>
        <v>3511.039347759076</v>
      </c>
      <c r="V11" s="93">
        <f t="shared" si="8"/>
        <v>3511.039347759076</v>
      </c>
      <c r="W11" s="93">
        <f t="shared" si="8"/>
        <v>3511.039347759076</v>
      </c>
    </row>
    <row r="12" spans="1:23" ht="16.5" customHeight="1">
      <c r="A12" s="82">
        <v>9</v>
      </c>
      <c r="B12" s="82" t="s">
        <v>132</v>
      </c>
      <c r="C12" s="93">
        <f t="shared" si="1"/>
        <v>40056.967849945664</v>
      </c>
      <c r="D12" s="93">
        <f>D11</f>
        <v>-1278.219412129405</v>
      </c>
      <c r="E12" s="93">
        <f aca="true" t="shared" si="9" ref="E12:W12">E11</f>
        <v>399.65911137053627</v>
      </c>
      <c r="F12" s="93">
        <f t="shared" si="9"/>
        <v>639.1067502964124</v>
      </c>
      <c r="G12" s="93">
        <f t="shared" si="9"/>
        <v>677.4694234180608</v>
      </c>
      <c r="H12" s="93">
        <f t="shared" si="9"/>
        <v>768.4749635955179</v>
      </c>
      <c r="I12" s="93">
        <f t="shared" si="9"/>
        <v>994.5129321397606</v>
      </c>
      <c r="J12" s="93">
        <f t="shared" si="9"/>
        <v>1171.973801243974</v>
      </c>
      <c r="K12" s="93">
        <f t="shared" si="9"/>
        <v>1355.9836152772614</v>
      </c>
      <c r="L12" s="93">
        <f t="shared" si="9"/>
        <v>1546.7840538837063</v>
      </c>
      <c r="M12" s="93">
        <f t="shared" si="9"/>
        <v>1608.628829925743</v>
      </c>
      <c r="N12" s="93">
        <f t="shared" si="9"/>
        <v>2042.1394994257425</v>
      </c>
      <c r="O12" s="93">
        <f t="shared" si="9"/>
        <v>2042.1394994257425</v>
      </c>
      <c r="P12" s="93">
        <f t="shared" si="9"/>
        <v>3511.039347759076</v>
      </c>
      <c r="Q12" s="93">
        <f t="shared" si="9"/>
        <v>3511.039347759076</v>
      </c>
      <c r="R12" s="93">
        <f t="shared" si="9"/>
        <v>3511.039347759076</v>
      </c>
      <c r="S12" s="93">
        <f t="shared" si="9"/>
        <v>3511.039347759076</v>
      </c>
      <c r="T12" s="93">
        <f t="shared" si="9"/>
        <v>3511.039347759076</v>
      </c>
      <c r="U12" s="93">
        <f t="shared" si="9"/>
        <v>3511.039347759076</v>
      </c>
      <c r="V12" s="93">
        <f t="shared" si="9"/>
        <v>3511.039347759076</v>
      </c>
      <c r="W12" s="93">
        <f t="shared" si="9"/>
        <v>3511.039347759076</v>
      </c>
    </row>
    <row r="13" spans="1:23" ht="18" customHeight="1">
      <c r="A13" s="82">
        <v>9.1</v>
      </c>
      <c r="B13" s="82" t="s">
        <v>133</v>
      </c>
      <c r="C13" s="93">
        <f t="shared" si="1"/>
        <v>4005.6967849945677</v>
      </c>
      <c r="D13" s="93">
        <f>IF(D11&gt;0,(D11-D8)*10%,0)</f>
        <v>0</v>
      </c>
      <c r="E13" s="93">
        <f aca="true" t="shared" si="10" ref="E13:W13">IF(E11&gt;0,(E11-E8)*10%,0)</f>
        <v>0</v>
      </c>
      <c r="F13" s="93">
        <f t="shared" si="10"/>
        <v>0</v>
      </c>
      <c r="G13" s="93">
        <f t="shared" si="10"/>
        <v>43.801587295560445</v>
      </c>
      <c r="H13" s="93">
        <f t="shared" si="10"/>
        <v>76.8474963595518</v>
      </c>
      <c r="I13" s="93">
        <f t="shared" si="10"/>
        <v>99.45129321397606</v>
      </c>
      <c r="J13" s="93">
        <f t="shared" si="10"/>
        <v>117.19738012439741</v>
      </c>
      <c r="K13" s="93">
        <f t="shared" si="10"/>
        <v>135.59836152772615</v>
      </c>
      <c r="L13" s="93">
        <f t="shared" si="10"/>
        <v>154.67840538837063</v>
      </c>
      <c r="M13" s="93">
        <f t="shared" si="10"/>
        <v>160.86288299257433</v>
      </c>
      <c r="N13" s="93">
        <f t="shared" si="10"/>
        <v>204.21394994257426</v>
      </c>
      <c r="O13" s="93">
        <f t="shared" si="10"/>
        <v>204.21394994257426</v>
      </c>
      <c r="P13" s="93">
        <f t="shared" si="10"/>
        <v>351.10393477590765</v>
      </c>
      <c r="Q13" s="93">
        <f t="shared" si="10"/>
        <v>351.10393477590765</v>
      </c>
      <c r="R13" s="93">
        <f t="shared" si="10"/>
        <v>351.10393477590765</v>
      </c>
      <c r="S13" s="93">
        <f t="shared" si="10"/>
        <v>351.10393477590765</v>
      </c>
      <c r="T13" s="93">
        <f t="shared" si="10"/>
        <v>351.10393477590765</v>
      </c>
      <c r="U13" s="93">
        <f t="shared" si="10"/>
        <v>351.10393477590765</v>
      </c>
      <c r="V13" s="93">
        <f t="shared" si="10"/>
        <v>351.10393477590765</v>
      </c>
      <c r="W13" s="93">
        <f t="shared" si="10"/>
        <v>351.10393477590765</v>
      </c>
    </row>
    <row r="14" spans="1:23" s="117" customFormat="1" ht="16.5" customHeight="1">
      <c r="A14" s="117">
        <v>9.2</v>
      </c>
      <c r="B14" s="117" t="s">
        <v>145</v>
      </c>
      <c r="C14" s="118">
        <f t="shared" si="1"/>
        <v>31795.205998260193</v>
      </c>
      <c r="D14" s="118">
        <f>IF('8 interest'!H7=0,('5 Profit and loss'!D12-'5 Profit and loss'!D13),0)</f>
        <v>0</v>
      </c>
      <c r="E14" s="118">
        <f>IF('8 interest'!I7=0,('5 Profit and loss'!E12-'5 Profit and loss'!E13),0)</f>
        <v>0</v>
      </c>
      <c r="F14" s="118">
        <f>IF('8 interest'!J7=0,('5 Profit and loss'!F12-'5 Profit and loss'!F13),0)</f>
        <v>0</v>
      </c>
      <c r="G14" s="118">
        <f>IF('8 interest'!K7=0,('5 Profit and loss'!G12-'5 Profit and loss'!G13),0)</f>
        <v>0</v>
      </c>
      <c r="H14" s="118">
        <f>IF('8 interest'!L7=0,('5 Profit and loss'!H12-'5 Profit and loss'!H13),0)</f>
        <v>0</v>
      </c>
      <c r="I14" s="118">
        <f>IF('8 interest'!M7=0,('5 Profit and loss'!I12-'5 Profit and loss'!I13),0)</f>
        <v>0</v>
      </c>
      <c r="J14" s="118">
        <f>IF('8 interest'!N7=0,('5 Profit and loss'!J12-'5 Profit and loss'!J13),0)</f>
        <v>0</v>
      </c>
      <c r="K14" s="118">
        <f>IF('8 interest'!O7=0,('5 Profit and loss'!K12-'5 Profit and loss'!K13),0)</f>
        <v>0</v>
      </c>
      <c r="L14" s="118">
        <f>IF('8 interest'!P7=0,('5 Profit and loss'!L12-'5 Profit and loss'!L13),0)</f>
        <v>1392.1056484953356</v>
      </c>
      <c r="M14" s="118">
        <f>IF('8 interest'!Q7=0,('5 Profit and loss'!M12-'5 Profit and loss'!M13),0)</f>
        <v>1447.7659469331688</v>
      </c>
      <c r="N14" s="118">
        <f>IF('8 interest'!R7=0,('5 Profit and loss'!N12-'5 Profit and loss'!N13),0)</f>
        <v>1837.9255494831682</v>
      </c>
      <c r="O14" s="118">
        <f>IF('8 interest'!S7=0,('5 Profit and loss'!O12-'5 Profit and loss'!O13),0)</f>
        <v>1837.9255494831682</v>
      </c>
      <c r="P14" s="118">
        <f>IF('8 interest'!T7=0,('5 Profit and loss'!P12-'5 Profit and loss'!P13),0)</f>
        <v>3159.935412983168</v>
      </c>
      <c r="Q14" s="118">
        <f>IF('8 interest'!U7=0,('5 Profit and loss'!Q12-'5 Profit and loss'!Q13),0)</f>
        <v>3159.935412983168</v>
      </c>
      <c r="R14" s="118">
        <f>IF('8 interest'!V7=0,('5 Profit and loss'!R12-'5 Profit and loss'!R13),0)</f>
        <v>3159.935412983168</v>
      </c>
      <c r="S14" s="118">
        <f>IF('8 interest'!W7=0,('5 Profit and loss'!S12-'5 Profit and loss'!S13),0)</f>
        <v>3159.935412983168</v>
      </c>
      <c r="T14" s="118">
        <f>IF('8 interest'!X7=0,('5 Profit and loss'!T12-'5 Profit and loss'!T13),0)</f>
        <v>3159.935412983168</v>
      </c>
      <c r="U14" s="118">
        <f>IF('8 interest'!Y7=0,('5 Profit and loss'!U12-'5 Profit and loss'!U13),0)</f>
        <v>3159.935412983168</v>
      </c>
      <c r="V14" s="118">
        <f>IF('8 interest'!Z7=0,('5 Profit and loss'!V12-'5 Profit and loss'!V13),0)</f>
        <v>3159.935412983168</v>
      </c>
      <c r="W14" s="118">
        <f>IF('8 interest'!AA7=0,('5 Profit and loss'!W12-'5 Profit and loss'!W13),0)</f>
        <v>3159.935412983168</v>
      </c>
    </row>
    <row r="15" spans="2:23" s="117" customFormat="1" ht="16.5" customHeight="1">
      <c r="B15" s="117" t="s">
        <v>128</v>
      </c>
      <c r="C15" s="118">
        <f t="shared" si="1"/>
        <v>4256.065066690907</v>
      </c>
      <c r="D15" s="118">
        <f>IF('8 interest'!H7=0,0,('5 Profit and loss'!D12-'5 Profit and loss'!D13))</f>
        <v>-1278.219412129405</v>
      </c>
      <c r="E15" s="118">
        <f>IF('8 interest'!I7=0,0,('5 Profit and loss'!E12-'5 Profit and loss'!E13))</f>
        <v>399.65911137053627</v>
      </c>
      <c r="F15" s="118">
        <f>IF('8 interest'!J7=0,0,('5 Profit and loss'!F12-'5 Profit and loss'!F13))</f>
        <v>639.1067502964124</v>
      </c>
      <c r="G15" s="118">
        <f>IF('8 interest'!K7=0,0,('5 Profit and loss'!G12-'5 Profit and loss'!G13))</f>
        <v>633.6678361225004</v>
      </c>
      <c r="H15" s="118">
        <f>IF('8 interest'!L7=0,0,('5 Profit and loss'!H12-'5 Profit and loss'!H13))</f>
        <v>691.6274672359662</v>
      </c>
      <c r="I15" s="118">
        <f>IF('8 interest'!M7=0,0,('5 Profit and loss'!I12-'5 Profit and loss'!I13))</f>
        <v>895.0616389257845</v>
      </c>
      <c r="J15" s="118">
        <f>IF('8 interest'!N7=0,0,('5 Profit and loss'!J12-'5 Profit and loss'!J13))</f>
        <v>1054.7764211195768</v>
      </c>
      <c r="K15" s="118">
        <f>IF('8 interest'!O7=0,0,('5 Profit and loss'!K12-'5 Profit and loss'!K13))</f>
        <v>1220.3852537495352</v>
      </c>
      <c r="L15" s="118">
        <f>IF('8 interest'!P7=0,0,('5 Profit and loss'!L12-'5 Profit and loss'!L13))</f>
        <v>0</v>
      </c>
      <c r="M15" s="118">
        <f>IF('8 interest'!Q7=0,0,('5 Profit and loss'!M12-'5 Profit and loss'!M13))</f>
        <v>0</v>
      </c>
      <c r="N15" s="118">
        <f>IF('8 interest'!R7=0,0,('5 Profit and loss'!N12-'5 Profit and loss'!N13))</f>
        <v>0</v>
      </c>
      <c r="O15" s="118">
        <f>IF('8 interest'!S7=0,0,('5 Profit and loss'!O12-'5 Profit and loss'!O13))</f>
        <v>0</v>
      </c>
      <c r="P15" s="118">
        <f>IF('8 interest'!T7=0,0,('5 Profit and loss'!P12-'5 Profit and loss'!P13))</f>
        <v>0</v>
      </c>
      <c r="Q15" s="118">
        <f>IF('8 interest'!U7=0,0,('5 Profit and loss'!Q12-'5 Profit and loss'!Q13))</f>
        <v>0</v>
      </c>
      <c r="R15" s="118">
        <f>IF('8 interest'!V7=0,0,('5 Profit and loss'!R12-'5 Profit and loss'!R13))</f>
        <v>0</v>
      </c>
      <c r="S15" s="118">
        <f>IF('8 interest'!W7=0,0,('5 Profit and loss'!S12-'5 Profit and loss'!S13))</f>
        <v>0</v>
      </c>
      <c r="T15" s="118">
        <f>IF('8 interest'!X7=0,0,('5 Profit and loss'!T12-'5 Profit and loss'!T13))</f>
        <v>0</v>
      </c>
      <c r="U15" s="118">
        <f>IF('8 interest'!Y7=0,0,('5 Profit and loss'!U12-'5 Profit and loss'!U13))</f>
        <v>0</v>
      </c>
      <c r="V15" s="118">
        <f>IF('8 interest'!Z7=0,0,('5 Profit and loss'!V12-'5 Profit and loss'!V13))</f>
        <v>0</v>
      </c>
      <c r="W15" s="118">
        <f>IF('8 interest'!AA7=0,0,('5 Profit and loss'!W12-'5 Profit and loss'!W13))</f>
        <v>0</v>
      </c>
    </row>
    <row r="16" spans="1:23" ht="16.5" customHeight="1">
      <c r="A16" s="82">
        <v>9.3</v>
      </c>
      <c r="B16" s="82" t="s">
        <v>140</v>
      </c>
      <c r="C16" s="93">
        <f>SUM(D16:W16)</f>
        <v>4256.065066690907</v>
      </c>
      <c r="D16" s="93">
        <f>D15</f>
        <v>-1278.219412129405</v>
      </c>
      <c r="E16" s="93">
        <f aca="true" t="shared" si="11" ref="E16:W16">E15</f>
        <v>399.65911137053627</v>
      </c>
      <c r="F16" s="93">
        <f t="shared" si="11"/>
        <v>639.1067502964124</v>
      </c>
      <c r="G16" s="93">
        <f t="shared" si="11"/>
        <v>633.6678361225004</v>
      </c>
      <c r="H16" s="93">
        <f t="shared" si="11"/>
        <v>691.6274672359662</v>
      </c>
      <c r="I16" s="93">
        <f t="shared" si="11"/>
        <v>895.0616389257845</v>
      </c>
      <c r="J16" s="93">
        <f t="shared" si="11"/>
        <v>1054.7764211195768</v>
      </c>
      <c r="K16" s="93">
        <f t="shared" si="11"/>
        <v>1220.3852537495352</v>
      </c>
      <c r="L16" s="93">
        <f t="shared" si="11"/>
        <v>0</v>
      </c>
      <c r="M16" s="93">
        <f t="shared" si="11"/>
        <v>0</v>
      </c>
      <c r="N16" s="93">
        <f t="shared" si="11"/>
        <v>0</v>
      </c>
      <c r="O16" s="93">
        <f t="shared" si="11"/>
        <v>0</v>
      </c>
      <c r="P16" s="93">
        <f t="shared" si="11"/>
        <v>0</v>
      </c>
      <c r="Q16" s="93">
        <f t="shared" si="11"/>
        <v>0</v>
      </c>
      <c r="R16" s="93">
        <f t="shared" si="11"/>
        <v>0</v>
      </c>
      <c r="S16" s="93">
        <f t="shared" si="11"/>
        <v>0</v>
      </c>
      <c r="T16" s="93">
        <f t="shared" si="11"/>
        <v>0</v>
      </c>
      <c r="U16" s="93">
        <f t="shared" si="11"/>
        <v>0</v>
      </c>
      <c r="V16" s="93">
        <f t="shared" si="11"/>
        <v>0</v>
      </c>
      <c r="W16" s="93">
        <f t="shared" si="11"/>
        <v>0</v>
      </c>
    </row>
    <row r="17" spans="1:23" ht="16.5" customHeight="1">
      <c r="A17" s="82">
        <v>10</v>
      </c>
      <c r="B17" s="82" t="s">
        <v>141</v>
      </c>
      <c r="C17" s="93"/>
      <c r="D17" s="93">
        <f>C17+D15+D14</f>
        <v>-1278.219412129405</v>
      </c>
      <c r="E17" s="93">
        <f aca="true" t="shared" si="12" ref="E17:W17">D17+E15+E14</f>
        <v>-878.5603007588688</v>
      </c>
      <c r="F17" s="93">
        <f t="shared" si="12"/>
        <v>-239.4535504624564</v>
      </c>
      <c r="G17" s="93">
        <f t="shared" si="12"/>
        <v>394.21428566004397</v>
      </c>
      <c r="H17" s="93">
        <f t="shared" si="12"/>
        <v>1085.8417528960101</v>
      </c>
      <c r="I17" s="93">
        <f t="shared" si="12"/>
        <v>1980.9033918217947</v>
      </c>
      <c r="J17" s="93">
        <f t="shared" si="12"/>
        <v>3035.6798129413714</v>
      </c>
      <c r="K17" s="93">
        <f t="shared" si="12"/>
        <v>4256.065066690907</v>
      </c>
      <c r="L17" s="93">
        <f t="shared" si="12"/>
        <v>5648.170715186243</v>
      </c>
      <c r="M17" s="93">
        <f t="shared" si="12"/>
        <v>7095.936662119411</v>
      </c>
      <c r="N17" s="93">
        <f t="shared" si="12"/>
        <v>8933.86221160258</v>
      </c>
      <c r="O17" s="93">
        <f t="shared" si="12"/>
        <v>10771.787761085749</v>
      </c>
      <c r="P17" s="93">
        <f t="shared" si="12"/>
        <v>13931.723174068917</v>
      </c>
      <c r="Q17" s="93">
        <f t="shared" si="12"/>
        <v>17091.658587052087</v>
      </c>
      <c r="R17" s="93">
        <f t="shared" si="12"/>
        <v>20251.594000035257</v>
      </c>
      <c r="S17" s="93">
        <f t="shared" si="12"/>
        <v>23411.529413018427</v>
      </c>
      <c r="T17" s="93">
        <f t="shared" si="12"/>
        <v>26571.464826001597</v>
      </c>
      <c r="U17" s="93">
        <f t="shared" si="12"/>
        <v>29731.400238984766</v>
      </c>
      <c r="V17" s="93">
        <f t="shared" si="12"/>
        <v>32891.33565196794</v>
      </c>
      <c r="W17" s="93">
        <f t="shared" si="12"/>
        <v>36051.27106495111</v>
      </c>
    </row>
    <row r="18" spans="3:23" ht="1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4:11" ht="15">
      <c r="D19" s="87"/>
      <c r="E19" s="87"/>
      <c r="F19" s="87"/>
      <c r="G19" s="87"/>
      <c r="H19" s="87"/>
      <c r="I19" s="87"/>
      <c r="J19" s="87"/>
      <c r="K19" s="87"/>
    </row>
  </sheetData>
  <mergeCells count="1">
    <mergeCell ref="A1:B1"/>
  </mergeCells>
  <printOptions/>
  <pageMargins left="0.75" right="0.75" top="1" bottom="1" header="0.5" footer="0.5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W25"/>
  <sheetViews>
    <sheetView workbookViewId="0" topLeftCell="A1">
      <selection activeCell="D15" sqref="D15"/>
    </sheetView>
  </sheetViews>
  <sheetFormatPr defaultColWidth="9.00390625" defaultRowHeight="13.5"/>
  <cols>
    <col min="1" max="1" width="4.625" style="82" customWidth="1"/>
    <col min="2" max="2" width="18.25390625" style="82" customWidth="1"/>
    <col min="3" max="3" width="15.50390625" style="82" customWidth="1"/>
    <col min="4" max="7" width="9.25390625" style="82" bestFit="1" customWidth="1"/>
    <col min="8" max="23" width="9.125" style="82" bestFit="1" customWidth="1"/>
    <col min="24" max="16384" width="9.00390625" style="82" customWidth="1"/>
  </cols>
  <sheetData>
    <row r="3" spans="1:23" ht="15">
      <c r="A3" s="84" t="s">
        <v>0</v>
      </c>
      <c r="B3" s="85" t="s">
        <v>4</v>
      </c>
      <c r="C3" s="86" t="s">
        <v>78</v>
      </c>
      <c r="D3" s="89">
        <v>3</v>
      </c>
      <c r="E3" s="89">
        <v>4</v>
      </c>
      <c r="F3" s="89">
        <v>5</v>
      </c>
      <c r="G3" s="89">
        <v>6</v>
      </c>
      <c r="H3" s="89">
        <v>7</v>
      </c>
      <c r="I3" s="89">
        <v>8</v>
      </c>
      <c r="J3" s="89">
        <v>9</v>
      </c>
      <c r="K3" s="89">
        <v>10</v>
      </c>
      <c r="L3" s="89">
        <v>11</v>
      </c>
      <c r="M3" s="89">
        <v>12</v>
      </c>
      <c r="N3" s="89">
        <v>13</v>
      </c>
      <c r="O3" s="89">
        <v>14</v>
      </c>
      <c r="P3" s="89">
        <v>15</v>
      </c>
      <c r="Q3" s="89">
        <v>16</v>
      </c>
      <c r="R3" s="89">
        <v>17</v>
      </c>
      <c r="S3" s="89">
        <v>18</v>
      </c>
      <c r="T3" s="89">
        <v>19</v>
      </c>
      <c r="U3" s="89">
        <v>20</v>
      </c>
      <c r="V3" s="89">
        <v>21</v>
      </c>
      <c r="W3" s="89">
        <v>22</v>
      </c>
    </row>
    <row r="4" spans="1:23" ht="15">
      <c r="A4" s="87"/>
      <c r="B4" s="88" t="s">
        <v>83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 ht="15">
      <c r="A5" s="87"/>
      <c r="B5" s="87" t="s">
        <v>80</v>
      </c>
      <c r="C5" s="87"/>
      <c r="D5" s="87">
        <f>D9+D13+D17</f>
        <v>42807.020000000004</v>
      </c>
      <c r="E5" s="87">
        <f aca="true" t="shared" si="0" ref="E5:W5">E9+E13+E17</f>
        <v>42807.020000000004</v>
      </c>
      <c r="F5" s="87">
        <f t="shared" si="0"/>
        <v>42807.020000000004</v>
      </c>
      <c r="G5" s="87">
        <f t="shared" si="0"/>
        <v>42807.020000000004</v>
      </c>
      <c r="H5" s="87">
        <f t="shared" si="0"/>
        <v>42807.020000000004</v>
      </c>
      <c r="I5" s="87">
        <f t="shared" si="0"/>
        <v>42807.020000000004</v>
      </c>
      <c r="J5" s="87">
        <f t="shared" si="0"/>
        <v>42807.020000000004</v>
      </c>
      <c r="K5" s="87">
        <f t="shared" si="0"/>
        <v>42807.020000000004</v>
      </c>
      <c r="L5" s="87">
        <f t="shared" si="0"/>
        <v>42807.020000000004</v>
      </c>
      <c r="M5" s="87">
        <f t="shared" si="0"/>
        <v>42807.020000000004</v>
      </c>
      <c r="N5" s="87">
        <f t="shared" si="0"/>
        <v>42807.020000000004</v>
      </c>
      <c r="O5" s="87">
        <f t="shared" si="0"/>
        <v>42807.020000000004</v>
      </c>
      <c r="P5" s="87">
        <f t="shared" si="0"/>
        <v>42807.020000000004</v>
      </c>
      <c r="Q5" s="87">
        <f t="shared" si="0"/>
        <v>42807.020000000004</v>
      </c>
      <c r="R5" s="87">
        <f t="shared" si="0"/>
        <v>42807.020000000004</v>
      </c>
      <c r="S5" s="87">
        <f t="shared" si="0"/>
        <v>42807.020000000004</v>
      </c>
      <c r="T5" s="87">
        <f t="shared" si="0"/>
        <v>42807.020000000004</v>
      </c>
      <c r="U5" s="87">
        <f t="shared" si="0"/>
        <v>42807.020000000004</v>
      </c>
      <c r="V5" s="87">
        <f t="shared" si="0"/>
        <v>42807.020000000004</v>
      </c>
      <c r="W5" s="87">
        <f t="shared" si="0"/>
        <v>42807.020000000004</v>
      </c>
    </row>
    <row r="6" spans="1:23" ht="15">
      <c r="A6" s="87"/>
      <c r="B6" s="87" t="s">
        <v>85</v>
      </c>
      <c r="C6" s="87"/>
      <c r="D6" s="87">
        <f>D10+D14+D18</f>
        <v>3034.778008333333</v>
      </c>
      <c r="E6" s="87">
        <f aca="true" t="shared" si="1" ref="E6:W6">E10+E14+E18</f>
        <v>3034.778008333333</v>
      </c>
      <c r="F6" s="87">
        <f t="shared" si="1"/>
        <v>3034.778008333333</v>
      </c>
      <c r="G6" s="87">
        <f t="shared" si="1"/>
        <v>3034.778008333333</v>
      </c>
      <c r="H6" s="87">
        <f t="shared" si="1"/>
        <v>3034.778008333333</v>
      </c>
      <c r="I6" s="87">
        <f t="shared" si="1"/>
        <v>3034.778008333333</v>
      </c>
      <c r="J6" s="87">
        <f t="shared" si="1"/>
        <v>3034.778008333333</v>
      </c>
      <c r="K6" s="87">
        <f t="shared" si="1"/>
        <v>3034.778008333333</v>
      </c>
      <c r="L6" s="87">
        <f t="shared" si="1"/>
        <v>3034.778008333333</v>
      </c>
      <c r="M6" s="87">
        <f t="shared" si="1"/>
        <v>3034.778008333333</v>
      </c>
      <c r="N6" s="87">
        <f t="shared" si="1"/>
        <v>2785.7991583333333</v>
      </c>
      <c r="O6" s="87">
        <f t="shared" si="1"/>
        <v>2785.7991583333333</v>
      </c>
      <c r="P6" s="87">
        <f t="shared" si="1"/>
        <v>593.411325</v>
      </c>
      <c r="Q6" s="87">
        <f t="shared" si="1"/>
        <v>593.411325</v>
      </c>
      <c r="R6" s="87">
        <f t="shared" si="1"/>
        <v>593.411325</v>
      </c>
      <c r="S6" s="87">
        <f t="shared" si="1"/>
        <v>593.411325</v>
      </c>
      <c r="T6" s="87">
        <f t="shared" si="1"/>
        <v>593.411325</v>
      </c>
      <c r="U6" s="87">
        <f t="shared" si="1"/>
        <v>593.411325</v>
      </c>
      <c r="V6" s="87">
        <f t="shared" si="1"/>
        <v>593.411325</v>
      </c>
      <c r="W6" s="87">
        <f t="shared" si="1"/>
        <v>593.411325</v>
      </c>
    </row>
    <row r="7" spans="1:23" ht="15">
      <c r="A7" s="87"/>
      <c r="B7" s="87" t="s">
        <v>81</v>
      </c>
      <c r="C7" s="87"/>
      <c r="D7" s="87">
        <f>D11+D15+D19</f>
        <v>39772.24199166667</v>
      </c>
      <c r="E7" s="87">
        <f aca="true" t="shared" si="2" ref="E7:W7">E11+E15+E19</f>
        <v>36737.463983333335</v>
      </c>
      <c r="F7" s="87">
        <f t="shared" si="2"/>
        <v>33702.685975</v>
      </c>
      <c r="G7" s="87">
        <f t="shared" si="2"/>
        <v>30667.90796666667</v>
      </c>
      <c r="H7" s="87">
        <f t="shared" si="2"/>
        <v>27633.129958333335</v>
      </c>
      <c r="I7" s="87">
        <f t="shared" si="2"/>
        <v>24598.35195</v>
      </c>
      <c r="J7" s="87">
        <f t="shared" si="2"/>
        <v>21563.57394166667</v>
      </c>
      <c r="K7" s="87">
        <f t="shared" si="2"/>
        <v>18528.795933333335</v>
      </c>
      <c r="L7" s="87">
        <f t="shared" si="2"/>
        <v>15494.017925000002</v>
      </c>
      <c r="M7" s="87">
        <f t="shared" si="2"/>
        <v>12459.239916666666</v>
      </c>
      <c r="N7" s="87">
        <f t="shared" si="2"/>
        <v>9673.440758333334</v>
      </c>
      <c r="O7" s="87">
        <f t="shared" si="2"/>
        <v>6887.641600000002</v>
      </c>
      <c r="P7" s="87">
        <f t="shared" si="2"/>
        <v>6294.230275000002</v>
      </c>
      <c r="Q7" s="87">
        <f t="shared" si="2"/>
        <v>5700.818950000002</v>
      </c>
      <c r="R7" s="87">
        <f t="shared" si="2"/>
        <v>5107.407625000003</v>
      </c>
      <c r="S7" s="87">
        <f t="shared" si="2"/>
        <v>4513.996300000002</v>
      </c>
      <c r="T7" s="87">
        <f t="shared" si="2"/>
        <v>3920.5849750000007</v>
      </c>
      <c r="U7" s="87">
        <f t="shared" si="2"/>
        <v>3327.1736500000015</v>
      </c>
      <c r="V7" s="87">
        <f t="shared" si="2"/>
        <v>2733.7623250000024</v>
      </c>
      <c r="W7" s="87">
        <f t="shared" si="2"/>
        <v>2140.3510000000015</v>
      </c>
    </row>
    <row r="8" spans="1:23" ht="15">
      <c r="A8" s="90">
        <v>1</v>
      </c>
      <c r="B8" s="87" t="s">
        <v>82</v>
      </c>
      <c r="C8" s="90">
        <v>20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ht="15">
      <c r="A9" s="90"/>
      <c r="B9" s="87" t="s">
        <v>80</v>
      </c>
      <c r="C9" s="90"/>
      <c r="D9" s="87">
        <f>(12492.87)*'10 sensitivity analysis'!B24</f>
        <v>12492.87</v>
      </c>
      <c r="E9" s="87">
        <f>D9</f>
        <v>12492.87</v>
      </c>
      <c r="F9" s="87">
        <f aca="true" t="shared" si="3" ref="F9:W9">E9</f>
        <v>12492.87</v>
      </c>
      <c r="G9" s="87">
        <f t="shared" si="3"/>
        <v>12492.87</v>
      </c>
      <c r="H9" s="87">
        <f t="shared" si="3"/>
        <v>12492.87</v>
      </c>
      <c r="I9" s="87">
        <f t="shared" si="3"/>
        <v>12492.87</v>
      </c>
      <c r="J9" s="87">
        <f t="shared" si="3"/>
        <v>12492.87</v>
      </c>
      <c r="K9" s="87">
        <f t="shared" si="3"/>
        <v>12492.87</v>
      </c>
      <c r="L9" s="87">
        <f t="shared" si="3"/>
        <v>12492.87</v>
      </c>
      <c r="M9" s="87">
        <f t="shared" si="3"/>
        <v>12492.87</v>
      </c>
      <c r="N9" s="87">
        <f t="shared" si="3"/>
        <v>12492.87</v>
      </c>
      <c r="O9" s="87">
        <f t="shared" si="3"/>
        <v>12492.87</v>
      </c>
      <c r="P9" s="87">
        <f t="shared" si="3"/>
        <v>12492.87</v>
      </c>
      <c r="Q9" s="87">
        <f t="shared" si="3"/>
        <v>12492.87</v>
      </c>
      <c r="R9" s="87">
        <f t="shared" si="3"/>
        <v>12492.87</v>
      </c>
      <c r="S9" s="87">
        <f t="shared" si="3"/>
        <v>12492.87</v>
      </c>
      <c r="T9" s="87">
        <f t="shared" si="3"/>
        <v>12492.87</v>
      </c>
      <c r="U9" s="87">
        <f t="shared" si="3"/>
        <v>12492.87</v>
      </c>
      <c r="V9" s="87">
        <f t="shared" si="3"/>
        <v>12492.87</v>
      </c>
      <c r="W9" s="87">
        <f t="shared" si="3"/>
        <v>12492.87</v>
      </c>
    </row>
    <row r="10" spans="1:23" ht="15">
      <c r="A10" s="90"/>
      <c r="B10" s="87" t="s">
        <v>85</v>
      </c>
      <c r="C10" s="90"/>
      <c r="D10" s="87">
        <f>D9*(1-5%)/C8</f>
        <v>593.411325</v>
      </c>
      <c r="E10" s="87">
        <f>D10</f>
        <v>593.411325</v>
      </c>
      <c r="F10" s="87">
        <f aca="true" t="shared" si="4" ref="F10:W10">E10</f>
        <v>593.411325</v>
      </c>
      <c r="G10" s="87">
        <f t="shared" si="4"/>
        <v>593.411325</v>
      </c>
      <c r="H10" s="87">
        <f t="shared" si="4"/>
        <v>593.411325</v>
      </c>
      <c r="I10" s="87">
        <f t="shared" si="4"/>
        <v>593.411325</v>
      </c>
      <c r="J10" s="87">
        <f t="shared" si="4"/>
        <v>593.411325</v>
      </c>
      <c r="K10" s="87">
        <f t="shared" si="4"/>
        <v>593.411325</v>
      </c>
      <c r="L10" s="87">
        <f t="shared" si="4"/>
        <v>593.411325</v>
      </c>
      <c r="M10" s="87">
        <f t="shared" si="4"/>
        <v>593.411325</v>
      </c>
      <c r="N10" s="87">
        <f t="shared" si="4"/>
        <v>593.411325</v>
      </c>
      <c r="O10" s="87">
        <f t="shared" si="4"/>
        <v>593.411325</v>
      </c>
      <c r="P10" s="87">
        <f t="shared" si="4"/>
        <v>593.411325</v>
      </c>
      <c r="Q10" s="87">
        <f t="shared" si="4"/>
        <v>593.411325</v>
      </c>
      <c r="R10" s="87">
        <f t="shared" si="4"/>
        <v>593.411325</v>
      </c>
      <c r="S10" s="87">
        <f t="shared" si="4"/>
        <v>593.411325</v>
      </c>
      <c r="T10" s="87">
        <f t="shared" si="4"/>
        <v>593.411325</v>
      </c>
      <c r="U10" s="87">
        <f t="shared" si="4"/>
        <v>593.411325</v>
      </c>
      <c r="V10" s="87">
        <f t="shared" si="4"/>
        <v>593.411325</v>
      </c>
      <c r="W10" s="87">
        <f t="shared" si="4"/>
        <v>593.411325</v>
      </c>
    </row>
    <row r="11" spans="1:23" ht="15">
      <c r="A11" s="90"/>
      <c r="B11" s="87" t="s">
        <v>81</v>
      </c>
      <c r="C11" s="90"/>
      <c r="D11" s="87">
        <f>D9-D10</f>
        <v>11899.458675000002</v>
      </c>
      <c r="E11" s="87">
        <f>E9-E10*2</f>
        <v>11306.04735</v>
      </c>
      <c r="F11" s="87">
        <f>F9-F10*3</f>
        <v>10712.636025</v>
      </c>
      <c r="G11" s="87">
        <f>G9-G10*4</f>
        <v>10119.2247</v>
      </c>
      <c r="H11" s="87">
        <f>H9-H10*5</f>
        <v>9525.813375000002</v>
      </c>
      <c r="I11" s="87">
        <f>I9-I10*6</f>
        <v>8932.40205</v>
      </c>
      <c r="J11" s="87">
        <f>J9-J10*7</f>
        <v>8338.990725</v>
      </c>
      <c r="K11" s="87">
        <f>K9-K10*8</f>
        <v>7745.5794000000005</v>
      </c>
      <c r="L11" s="87">
        <f>L9-L10*9</f>
        <v>7152.1680750000005</v>
      </c>
      <c r="M11" s="87">
        <f>M9-M10*10</f>
        <v>6558.7567500000005</v>
      </c>
      <c r="N11" s="87">
        <f>N9-N10*11</f>
        <v>5965.345425</v>
      </c>
      <c r="O11" s="87">
        <f>O9-O10*12</f>
        <v>5371.9341</v>
      </c>
      <c r="P11" s="87">
        <f>P9-P10*13</f>
        <v>4778.522775</v>
      </c>
      <c r="Q11" s="87">
        <f>Q9-Q10*14</f>
        <v>4185.11145</v>
      </c>
      <c r="R11" s="87">
        <f>R9-R10*15</f>
        <v>3591.700125000001</v>
      </c>
      <c r="S11" s="87">
        <f>S9-S10*16</f>
        <v>2998.2888000000003</v>
      </c>
      <c r="T11" s="87">
        <f>T9-T10*17</f>
        <v>2404.8774749999993</v>
      </c>
      <c r="U11" s="87">
        <f>U9-U10*18</f>
        <v>1811.4661500000002</v>
      </c>
      <c r="V11" s="87">
        <f>V9-V10*19</f>
        <v>1218.054825000001</v>
      </c>
      <c r="W11" s="87">
        <f>W9-W10*20</f>
        <v>624.6435000000001</v>
      </c>
    </row>
    <row r="12" spans="1:23" ht="15">
      <c r="A12" s="90">
        <v>2</v>
      </c>
      <c r="B12" s="87" t="s">
        <v>86</v>
      </c>
      <c r="C12" s="90">
        <v>12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15">
      <c r="A13" s="90"/>
      <c r="B13" s="87" t="s">
        <v>80</v>
      </c>
      <c r="C13" s="90"/>
      <c r="D13" s="87">
        <f>(27693.32)*'10 sensitivity analysis'!B24</f>
        <v>27693.32</v>
      </c>
      <c r="E13" s="87">
        <f>D13</f>
        <v>27693.32</v>
      </c>
      <c r="F13" s="87">
        <f aca="true" t="shared" si="5" ref="F13:W13">E13</f>
        <v>27693.32</v>
      </c>
      <c r="G13" s="87">
        <f t="shared" si="5"/>
        <v>27693.32</v>
      </c>
      <c r="H13" s="87">
        <f t="shared" si="5"/>
        <v>27693.32</v>
      </c>
      <c r="I13" s="87">
        <f t="shared" si="5"/>
        <v>27693.32</v>
      </c>
      <c r="J13" s="87">
        <f t="shared" si="5"/>
        <v>27693.32</v>
      </c>
      <c r="K13" s="87">
        <f t="shared" si="5"/>
        <v>27693.32</v>
      </c>
      <c r="L13" s="87">
        <f t="shared" si="5"/>
        <v>27693.32</v>
      </c>
      <c r="M13" s="87">
        <f t="shared" si="5"/>
        <v>27693.32</v>
      </c>
      <c r="N13" s="87">
        <f t="shared" si="5"/>
        <v>27693.32</v>
      </c>
      <c r="O13" s="87">
        <f t="shared" si="5"/>
        <v>27693.32</v>
      </c>
      <c r="P13" s="87">
        <f t="shared" si="5"/>
        <v>27693.32</v>
      </c>
      <c r="Q13" s="87">
        <f t="shared" si="5"/>
        <v>27693.32</v>
      </c>
      <c r="R13" s="87">
        <f t="shared" si="5"/>
        <v>27693.32</v>
      </c>
      <c r="S13" s="87">
        <f t="shared" si="5"/>
        <v>27693.32</v>
      </c>
      <c r="T13" s="87">
        <f t="shared" si="5"/>
        <v>27693.32</v>
      </c>
      <c r="U13" s="87">
        <f t="shared" si="5"/>
        <v>27693.32</v>
      </c>
      <c r="V13" s="87">
        <f t="shared" si="5"/>
        <v>27693.32</v>
      </c>
      <c r="W13" s="87">
        <f t="shared" si="5"/>
        <v>27693.32</v>
      </c>
    </row>
    <row r="14" spans="1:23" ht="15">
      <c r="A14" s="90"/>
      <c r="B14" s="87" t="s">
        <v>85</v>
      </c>
      <c r="C14" s="90"/>
      <c r="D14" s="87">
        <f>D13*(1-5%)/C12</f>
        <v>2192.387833333333</v>
      </c>
      <c r="E14" s="87">
        <f>D14</f>
        <v>2192.387833333333</v>
      </c>
      <c r="F14" s="87">
        <f aca="true" t="shared" si="6" ref="F14:O14">E14</f>
        <v>2192.387833333333</v>
      </c>
      <c r="G14" s="87">
        <f t="shared" si="6"/>
        <v>2192.387833333333</v>
      </c>
      <c r="H14" s="87">
        <f t="shared" si="6"/>
        <v>2192.387833333333</v>
      </c>
      <c r="I14" s="87">
        <f t="shared" si="6"/>
        <v>2192.387833333333</v>
      </c>
      <c r="J14" s="87">
        <f t="shared" si="6"/>
        <v>2192.387833333333</v>
      </c>
      <c r="K14" s="87">
        <f t="shared" si="6"/>
        <v>2192.387833333333</v>
      </c>
      <c r="L14" s="87">
        <f t="shared" si="6"/>
        <v>2192.387833333333</v>
      </c>
      <c r="M14" s="87">
        <f t="shared" si="6"/>
        <v>2192.387833333333</v>
      </c>
      <c r="N14" s="87">
        <f t="shared" si="6"/>
        <v>2192.387833333333</v>
      </c>
      <c r="O14" s="87">
        <f t="shared" si="6"/>
        <v>2192.387833333333</v>
      </c>
      <c r="P14" s="87"/>
      <c r="Q14" s="87"/>
      <c r="R14" s="87"/>
      <c r="S14" s="87"/>
      <c r="T14" s="87"/>
      <c r="U14" s="87"/>
      <c r="V14" s="87"/>
      <c r="W14" s="87"/>
    </row>
    <row r="15" spans="1:23" ht="15">
      <c r="A15" s="90"/>
      <c r="B15" s="87" t="s">
        <v>81</v>
      </c>
      <c r="C15" s="90"/>
      <c r="D15" s="87">
        <f>D13-D14</f>
        <v>25500.932166666666</v>
      </c>
      <c r="E15" s="87">
        <f>E13-E14*2</f>
        <v>23308.54433333333</v>
      </c>
      <c r="F15" s="87">
        <f>F13-F14*3</f>
        <v>21116.1565</v>
      </c>
      <c r="G15" s="87">
        <f>G13-G14*4</f>
        <v>18923.768666666667</v>
      </c>
      <c r="H15" s="87">
        <f>H13-H14*5</f>
        <v>16731.380833333333</v>
      </c>
      <c r="I15" s="87">
        <f>I13-I14*6</f>
        <v>14538.993</v>
      </c>
      <c r="J15" s="87">
        <f>J13-J14*7</f>
        <v>12346.605166666668</v>
      </c>
      <c r="K15" s="87">
        <f>K13-K14*8</f>
        <v>10154.217333333334</v>
      </c>
      <c r="L15" s="87">
        <f>L13-L14*9</f>
        <v>7961.8295</v>
      </c>
      <c r="M15" s="87">
        <f>M13-M14*10</f>
        <v>5769.441666666666</v>
      </c>
      <c r="N15" s="87">
        <f>N13-N14*11</f>
        <v>3577.053833333335</v>
      </c>
      <c r="O15" s="87">
        <f>O13-O14*12</f>
        <v>1384.666000000001</v>
      </c>
      <c r="P15" s="87">
        <f>O15</f>
        <v>1384.666000000001</v>
      </c>
      <c r="Q15" s="87">
        <f aca="true" t="shared" si="7" ref="Q15:W15">P15</f>
        <v>1384.666000000001</v>
      </c>
      <c r="R15" s="87">
        <f t="shared" si="7"/>
        <v>1384.666000000001</v>
      </c>
      <c r="S15" s="87">
        <f t="shared" si="7"/>
        <v>1384.666000000001</v>
      </c>
      <c r="T15" s="87">
        <f t="shared" si="7"/>
        <v>1384.666000000001</v>
      </c>
      <c r="U15" s="87">
        <f t="shared" si="7"/>
        <v>1384.666000000001</v>
      </c>
      <c r="V15" s="87">
        <f t="shared" si="7"/>
        <v>1384.666000000001</v>
      </c>
      <c r="W15" s="87">
        <f t="shared" si="7"/>
        <v>1384.666000000001</v>
      </c>
    </row>
    <row r="16" spans="1:23" ht="15">
      <c r="A16" s="90">
        <v>3</v>
      </c>
      <c r="B16" s="87" t="s">
        <v>84</v>
      </c>
      <c r="C16" s="90">
        <v>10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ht="15">
      <c r="A17" s="87"/>
      <c r="B17" s="87" t="s">
        <v>80</v>
      </c>
      <c r="C17" s="87"/>
      <c r="D17" s="87">
        <f>(2620.83)*'10 sensitivity analysis'!B24</f>
        <v>2620.83</v>
      </c>
      <c r="E17" s="87">
        <f>D17</f>
        <v>2620.83</v>
      </c>
      <c r="F17" s="87">
        <f aca="true" t="shared" si="8" ref="F17:W17">E17</f>
        <v>2620.83</v>
      </c>
      <c r="G17" s="87">
        <f t="shared" si="8"/>
        <v>2620.83</v>
      </c>
      <c r="H17" s="87">
        <f t="shared" si="8"/>
        <v>2620.83</v>
      </c>
      <c r="I17" s="87">
        <f t="shared" si="8"/>
        <v>2620.83</v>
      </c>
      <c r="J17" s="87">
        <f t="shared" si="8"/>
        <v>2620.83</v>
      </c>
      <c r="K17" s="87">
        <f t="shared" si="8"/>
        <v>2620.83</v>
      </c>
      <c r="L17" s="87">
        <f t="shared" si="8"/>
        <v>2620.83</v>
      </c>
      <c r="M17" s="87">
        <f t="shared" si="8"/>
        <v>2620.83</v>
      </c>
      <c r="N17" s="87">
        <f t="shared" si="8"/>
        <v>2620.83</v>
      </c>
      <c r="O17" s="87">
        <f t="shared" si="8"/>
        <v>2620.83</v>
      </c>
      <c r="P17" s="87">
        <f t="shared" si="8"/>
        <v>2620.83</v>
      </c>
      <c r="Q17" s="87">
        <f t="shared" si="8"/>
        <v>2620.83</v>
      </c>
      <c r="R17" s="87">
        <f t="shared" si="8"/>
        <v>2620.83</v>
      </c>
      <c r="S17" s="87">
        <f t="shared" si="8"/>
        <v>2620.83</v>
      </c>
      <c r="T17" s="87">
        <f t="shared" si="8"/>
        <v>2620.83</v>
      </c>
      <c r="U17" s="87">
        <f t="shared" si="8"/>
        <v>2620.83</v>
      </c>
      <c r="V17" s="87">
        <f t="shared" si="8"/>
        <v>2620.83</v>
      </c>
      <c r="W17" s="87">
        <f t="shared" si="8"/>
        <v>2620.83</v>
      </c>
    </row>
    <row r="18" spans="1:23" ht="15">
      <c r="A18" s="87"/>
      <c r="B18" s="87" t="s">
        <v>85</v>
      </c>
      <c r="C18" s="87"/>
      <c r="D18" s="87">
        <f>D17*(1-5%)/C16</f>
        <v>248.97884999999997</v>
      </c>
      <c r="E18" s="87">
        <f>D18</f>
        <v>248.97884999999997</v>
      </c>
      <c r="F18" s="87">
        <f aca="true" t="shared" si="9" ref="F18:M18">E18</f>
        <v>248.97884999999997</v>
      </c>
      <c r="G18" s="87">
        <f t="shared" si="9"/>
        <v>248.97884999999997</v>
      </c>
      <c r="H18" s="87">
        <f t="shared" si="9"/>
        <v>248.97884999999997</v>
      </c>
      <c r="I18" s="87">
        <f t="shared" si="9"/>
        <v>248.97884999999997</v>
      </c>
      <c r="J18" s="87">
        <f t="shared" si="9"/>
        <v>248.97884999999997</v>
      </c>
      <c r="K18" s="87">
        <f t="shared" si="9"/>
        <v>248.97884999999997</v>
      </c>
      <c r="L18" s="87">
        <f t="shared" si="9"/>
        <v>248.97884999999997</v>
      </c>
      <c r="M18" s="87">
        <f t="shared" si="9"/>
        <v>248.97884999999997</v>
      </c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ht="15">
      <c r="A19" s="87"/>
      <c r="B19" s="87" t="s">
        <v>81</v>
      </c>
      <c r="C19" s="87"/>
      <c r="D19" s="87">
        <f>D17-D18</f>
        <v>2371.85115</v>
      </c>
      <c r="E19" s="87">
        <f>E17-E18*2</f>
        <v>2122.8723</v>
      </c>
      <c r="F19" s="87">
        <f>F17-F18*3</f>
        <v>1873.89345</v>
      </c>
      <c r="G19" s="87">
        <f>G17-G18*4</f>
        <v>1624.9146</v>
      </c>
      <c r="H19" s="87">
        <f>H17-H18*5</f>
        <v>1375.93575</v>
      </c>
      <c r="I19" s="87">
        <f>I17-I18*6</f>
        <v>1126.9569000000001</v>
      </c>
      <c r="J19" s="87">
        <f>J17-J18*7</f>
        <v>877.9780500000002</v>
      </c>
      <c r="K19" s="87">
        <f>K17-K18*8</f>
        <v>628.9992000000002</v>
      </c>
      <c r="L19" s="87">
        <f>L17-L18*9</f>
        <v>380.02035000000024</v>
      </c>
      <c r="M19" s="87">
        <f>M17-M18*10</f>
        <v>131.04150000000027</v>
      </c>
      <c r="N19" s="87">
        <f>M19</f>
        <v>131.04150000000027</v>
      </c>
      <c r="O19" s="87">
        <f aca="true" t="shared" si="10" ref="O19:W19">N19</f>
        <v>131.04150000000027</v>
      </c>
      <c r="P19" s="87">
        <f t="shared" si="10"/>
        <v>131.04150000000027</v>
      </c>
      <c r="Q19" s="87">
        <f t="shared" si="10"/>
        <v>131.04150000000027</v>
      </c>
      <c r="R19" s="87">
        <f t="shared" si="10"/>
        <v>131.04150000000027</v>
      </c>
      <c r="S19" s="87">
        <f t="shared" si="10"/>
        <v>131.04150000000027</v>
      </c>
      <c r="T19" s="87">
        <f t="shared" si="10"/>
        <v>131.04150000000027</v>
      </c>
      <c r="U19" s="87">
        <f t="shared" si="10"/>
        <v>131.04150000000027</v>
      </c>
      <c r="V19" s="87">
        <f t="shared" si="10"/>
        <v>131.04150000000027</v>
      </c>
      <c r="W19" s="87">
        <f t="shared" si="10"/>
        <v>131.04150000000027</v>
      </c>
    </row>
    <row r="24" ht="15">
      <c r="D24" s="87"/>
    </row>
    <row r="25" ht="15">
      <c r="D25" s="87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W26"/>
  <sheetViews>
    <sheetView workbookViewId="0" topLeftCell="A1">
      <selection activeCell="E12" sqref="E12"/>
    </sheetView>
  </sheetViews>
  <sheetFormatPr defaultColWidth="9.00390625" defaultRowHeight="13.5"/>
  <cols>
    <col min="1" max="1" width="9.00390625" style="82" customWidth="1"/>
    <col min="2" max="2" width="30.875" style="82" customWidth="1"/>
    <col min="3" max="3" width="15.50390625" style="82" customWidth="1"/>
    <col min="4" max="16384" width="9.00390625" style="82" customWidth="1"/>
  </cols>
  <sheetData>
    <row r="2" spans="1:23" ht="15">
      <c r="A2" s="84" t="s">
        <v>0</v>
      </c>
      <c r="B2" s="85" t="s">
        <v>4</v>
      </c>
      <c r="C2" s="86" t="s">
        <v>88</v>
      </c>
      <c r="D2" s="89">
        <v>3</v>
      </c>
      <c r="E2" s="89">
        <v>4</v>
      </c>
      <c r="F2" s="89">
        <v>5</v>
      </c>
      <c r="G2" s="89">
        <v>6</v>
      </c>
      <c r="H2" s="89">
        <v>7</v>
      </c>
      <c r="I2" s="89">
        <v>8</v>
      </c>
      <c r="J2" s="89">
        <v>9</v>
      </c>
      <c r="K2" s="89">
        <v>10</v>
      </c>
      <c r="L2" s="89">
        <v>11</v>
      </c>
      <c r="M2" s="89">
        <v>12</v>
      </c>
      <c r="N2" s="89">
        <v>13</v>
      </c>
      <c r="O2" s="89">
        <v>14</v>
      </c>
      <c r="P2" s="89">
        <v>15</v>
      </c>
      <c r="Q2" s="89">
        <v>16</v>
      </c>
      <c r="R2" s="89">
        <v>17</v>
      </c>
      <c r="S2" s="89">
        <v>18</v>
      </c>
      <c r="T2" s="89">
        <v>19</v>
      </c>
      <c r="U2" s="89">
        <v>20</v>
      </c>
      <c r="V2" s="89">
        <v>21</v>
      </c>
      <c r="W2" s="89">
        <v>22</v>
      </c>
    </row>
    <row r="3" spans="1:2" ht="15">
      <c r="A3" s="82">
        <v>1</v>
      </c>
      <c r="B3" s="82" t="s">
        <v>87</v>
      </c>
    </row>
    <row r="4" spans="2:23" ht="15">
      <c r="B4" s="87" t="s">
        <v>80</v>
      </c>
      <c r="D4" s="93">
        <f>D12+D16</f>
        <v>3980.52</v>
      </c>
      <c r="E4" s="93">
        <f aca="true" t="shared" si="0" ref="E4:W4">E12+E16</f>
        <v>3980.52</v>
      </c>
      <c r="F4" s="93">
        <f t="shared" si="0"/>
        <v>3980.52</v>
      </c>
      <c r="G4" s="93">
        <f t="shared" si="0"/>
        <v>3980.52</v>
      </c>
      <c r="H4" s="93">
        <f t="shared" si="0"/>
        <v>3980.52</v>
      </c>
      <c r="I4" s="93">
        <f t="shared" si="0"/>
        <v>3980.52</v>
      </c>
      <c r="J4" s="93">
        <f t="shared" si="0"/>
        <v>3980.52</v>
      </c>
      <c r="K4" s="93">
        <f t="shared" si="0"/>
        <v>3980.52</v>
      </c>
      <c r="L4" s="93">
        <f t="shared" si="0"/>
        <v>3980.52</v>
      </c>
      <c r="M4" s="93">
        <f t="shared" si="0"/>
        <v>3980.52</v>
      </c>
      <c r="N4" s="93">
        <f t="shared" si="0"/>
        <v>3980.52</v>
      </c>
      <c r="O4" s="93">
        <f t="shared" si="0"/>
        <v>3980.52</v>
      </c>
      <c r="P4" s="93">
        <f t="shared" si="0"/>
        <v>3980.52</v>
      </c>
      <c r="Q4" s="93">
        <f t="shared" si="0"/>
        <v>3980.52</v>
      </c>
      <c r="R4" s="93">
        <f t="shared" si="0"/>
        <v>3980.52</v>
      </c>
      <c r="S4" s="93">
        <f t="shared" si="0"/>
        <v>3980.52</v>
      </c>
      <c r="T4" s="93">
        <f t="shared" si="0"/>
        <v>3980.52</v>
      </c>
      <c r="U4" s="93">
        <f t="shared" si="0"/>
        <v>3980.52</v>
      </c>
      <c r="V4" s="93">
        <f t="shared" si="0"/>
        <v>3980.52</v>
      </c>
      <c r="W4" s="93">
        <f t="shared" si="0"/>
        <v>3980.52</v>
      </c>
    </row>
    <row r="5" spans="2:13" ht="15">
      <c r="B5" s="87" t="s">
        <v>90</v>
      </c>
      <c r="D5" s="93">
        <f>D13+D17</f>
        <v>398.052</v>
      </c>
      <c r="E5" s="93">
        <f aca="true" t="shared" si="1" ref="E5:M5">E13+E17</f>
        <v>398.052</v>
      </c>
      <c r="F5" s="93">
        <f t="shared" si="1"/>
        <v>398.052</v>
      </c>
      <c r="G5" s="93">
        <f t="shared" si="1"/>
        <v>398.052</v>
      </c>
      <c r="H5" s="93">
        <f t="shared" si="1"/>
        <v>398.052</v>
      </c>
      <c r="I5" s="93">
        <f t="shared" si="1"/>
        <v>398.052</v>
      </c>
      <c r="J5" s="93">
        <f t="shared" si="1"/>
        <v>398.052</v>
      </c>
      <c r="K5" s="93">
        <f t="shared" si="1"/>
        <v>398.052</v>
      </c>
      <c r="L5" s="93">
        <f t="shared" si="1"/>
        <v>398.052</v>
      </c>
      <c r="M5" s="93">
        <f t="shared" si="1"/>
        <v>398.052</v>
      </c>
    </row>
    <row r="6" spans="2:13" ht="15">
      <c r="B6" s="87" t="s">
        <v>81</v>
      </c>
      <c r="D6" s="93">
        <f>D14+D18</f>
        <v>3582.468</v>
      </c>
      <c r="E6" s="93">
        <f aca="true" t="shared" si="2" ref="E6:L6">E14+E18</f>
        <v>3184.416</v>
      </c>
      <c r="F6" s="93">
        <f t="shared" si="2"/>
        <v>2786.3639999999996</v>
      </c>
      <c r="G6" s="93">
        <f t="shared" si="2"/>
        <v>2388.312</v>
      </c>
      <c r="H6" s="93">
        <f t="shared" si="2"/>
        <v>1990.26</v>
      </c>
      <c r="I6" s="93">
        <f t="shared" si="2"/>
        <v>1592.2079999999999</v>
      </c>
      <c r="J6" s="93">
        <f t="shared" si="2"/>
        <v>1194.1559999999997</v>
      </c>
      <c r="K6" s="93">
        <f t="shared" si="2"/>
        <v>796.1039999999998</v>
      </c>
      <c r="L6" s="93">
        <f t="shared" si="2"/>
        <v>398.0519999999999</v>
      </c>
      <c r="M6" s="93"/>
    </row>
    <row r="7" spans="1:3" ht="15">
      <c r="A7" s="82">
        <v>1.1</v>
      </c>
      <c r="B7" s="92" t="s">
        <v>89</v>
      </c>
      <c r="C7" s="82">
        <v>0</v>
      </c>
    </row>
    <row r="8" ht="15">
      <c r="B8" s="91" t="s">
        <v>80</v>
      </c>
    </row>
    <row r="9" ht="15">
      <c r="B9" s="91" t="s">
        <v>90</v>
      </c>
    </row>
    <row r="10" ht="15">
      <c r="B10" s="91" t="s">
        <v>81</v>
      </c>
    </row>
    <row r="11" spans="1:3" ht="15">
      <c r="A11" s="82">
        <v>1.2</v>
      </c>
      <c r="B11" s="82" t="s">
        <v>94</v>
      </c>
      <c r="C11" s="82">
        <v>10</v>
      </c>
    </row>
    <row r="12" spans="2:23" ht="15">
      <c r="B12" s="87" t="s">
        <v>80</v>
      </c>
      <c r="D12" s="93">
        <f>(2595.33)*'10 sensitivity analysis'!B24</f>
        <v>2595.33</v>
      </c>
      <c r="E12" s="93">
        <f>D12</f>
        <v>2595.33</v>
      </c>
      <c r="F12" s="93">
        <f aca="true" t="shared" si="3" ref="F12:W12">E12</f>
        <v>2595.33</v>
      </c>
      <c r="G12" s="93">
        <f t="shared" si="3"/>
        <v>2595.33</v>
      </c>
      <c r="H12" s="93">
        <f t="shared" si="3"/>
        <v>2595.33</v>
      </c>
      <c r="I12" s="93">
        <f t="shared" si="3"/>
        <v>2595.33</v>
      </c>
      <c r="J12" s="93">
        <f t="shared" si="3"/>
        <v>2595.33</v>
      </c>
      <c r="K12" s="93">
        <f t="shared" si="3"/>
        <v>2595.33</v>
      </c>
      <c r="L12" s="93">
        <f t="shared" si="3"/>
        <v>2595.33</v>
      </c>
      <c r="M12" s="93">
        <f t="shared" si="3"/>
        <v>2595.33</v>
      </c>
      <c r="N12" s="93">
        <f t="shared" si="3"/>
        <v>2595.33</v>
      </c>
      <c r="O12" s="93">
        <f t="shared" si="3"/>
        <v>2595.33</v>
      </c>
      <c r="P12" s="93">
        <f t="shared" si="3"/>
        <v>2595.33</v>
      </c>
      <c r="Q12" s="93">
        <f t="shared" si="3"/>
        <v>2595.33</v>
      </c>
      <c r="R12" s="93">
        <f t="shared" si="3"/>
        <v>2595.33</v>
      </c>
      <c r="S12" s="93">
        <f t="shared" si="3"/>
        <v>2595.33</v>
      </c>
      <c r="T12" s="93">
        <f t="shared" si="3"/>
        <v>2595.33</v>
      </c>
      <c r="U12" s="93">
        <f t="shared" si="3"/>
        <v>2595.33</v>
      </c>
      <c r="V12" s="93">
        <f t="shared" si="3"/>
        <v>2595.33</v>
      </c>
      <c r="W12" s="93">
        <f t="shared" si="3"/>
        <v>2595.33</v>
      </c>
    </row>
    <row r="13" spans="2:23" ht="15">
      <c r="B13" s="87" t="s">
        <v>90</v>
      </c>
      <c r="D13" s="93">
        <f>D12/C11</f>
        <v>259.533</v>
      </c>
      <c r="E13" s="93">
        <f>D13</f>
        <v>259.533</v>
      </c>
      <c r="F13" s="93">
        <f aca="true" t="shared" si="4" ref="F13:M13">E13</f>
        <v>259.533</v>
      </c>
      <c r="G13" s="93">
        <f t="shared" si="4"/>
        <v>259.533</v>
      </c>
      <c r="H13" s="93">
        <f t="shared" si="4"/>
        <v>259.533</v>
      </c>
      <c r="I13" s="93">
        <f t="shared" si="4"/>
        <v>259.533</v>
      </c>
      <c r="J13" s="93">
        <f t="shared" si="4"/>
        <v>259.533</v>
      </c>
      <c r="K13" s="93">
        <f t="shared" si="4"/>
        <v>259.533</v>
      </c>
      <c r="L13" s="93">
        <f t="shared" si="4"/>
        <v>259.533</v>
      </c>
      <c r="M13" s="93">
        <f t="shared" si="4"/>
        <v>259.533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</row>
    <row r="14" spans="2:23" ht="15">
      <c r="B14" s="87" t="s">
        <v>81</v>
      </c>
      <c r="D14" s="93">
        <f>D12-D13</f>
        <v>2335.797</v>
      </c>
      <c r="E14" s="93">
        <f>E12-E13*2</f>
        <v>2076.264</v>
      </c>
      <c r="F14" s="93">
        <f>F12-F13*3</f>
        <v>1816.7309999999998</v>
      </c>
      <c r="G14" s="93">
        <f>G12-G13*4</f>
        <v>1557.1979999999999</v>
      </c>
      <c r="H14" s="93">
        <f>H12-H13*5</f>
        <v>1297.665</v>
      </c>
      <c r="I14" s="93">
        <f>I12-I13*6</f>
        <v>1038.1319999999998</v>
      </c>
      <c r="J14" s="93">
        <f>J12-J13*7</f>
        <v>778.5989999999997</v>
      </c>
      <c r="K14" s="93">
        <f>K12-K13*8</f>
        <v>519.0659999999998</v>
      </c>
      <c r="L14" s="93">
        <f>L12-L13*9</f>
        <v>259.5329999999999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1:3" ht="15">
      <c r="A15" s="82">
        <v>1.3</v>
      </c>
      <c r="B15" s="82" t="s">
        <v>91</v>
      </c>
      <c r="C15" s="82">
        <v>10</v>
      </c>
    </row>
    <row r="16" spans="2:23" ht="15">
      <c r="B16" s="87" t="s">
        <v>80</v>
      </c>
      <c r="D16" s="93">
        <f>(1385.19)*'10 sensitivity analysis'!B24</f>
        <v>1385.19</v>
      </c>
      <c r="E16" s="93">
        <f>D16</f>
        <v>1385.19</v>
      </c>
      <c r="F16" s="93">
        <f aca="true" t="shared" si="5" ref="F16:W16">E16</f>
        <v>1385.19</v>
      </c>
      <c r="G16" s="93">
        <f t="shared" si="5"/>
        <v>1385.19</v>
      </c>
      <c r="H16" s="93">
        <f t="shared" si="5"/>
        <v>1385.19</v>
      </c>
      <c r="I16" s="93">
        <f t="shared" si="5"/>
        <v>1385.19</v>
      </c>
      <c r="J16" s="93">
        <f t="shared" si="5"/>
        <v>1385.19</v>
      </c>
      <c r="K16" s="93">
        <f t="shared" si="5"/>
        <v>1385.19</v>
      </c>
      <c r="L16" s="93">
        <f t="shared" si="5"/>
        <v>1385.19</v>
      </c>
      <c r="M16" s="93">
        <f t="shared" si="5"/>
        <v>1385.19</v>
      </c>
      <c r="N16" s="93">
        <f t="shared" si="5"/>
        <v>1385.19</v>
      </c>
      <c r="O16" s="93">
        <f t="shared" si="5"/>
        <v>1385.19</v>
      </c>
      <c r="P16" s="93">
        <f t="shared" si="5"/>
        <v>1385.19</v>
      </c>
      <c r="Q16" s="93">
        <f t="shared" si="5"/>
        <v>1385.19</v>
      </c>
      <c r="R16" s="93">
        <f t="shared" si="5"/>
        <v>1385.19</v>
      </c>
      <c r="S16" s="93">
        <f t="shared" si="5"/>
        <v>1385.19</v>
      </c>
      <c r="T16" s="93">
        <f t="shared" si="5"/>
        <v>1385.19</v>
      </c>
      <c r="U16" s="93">
        <f t="shared" si="5"/>
        <v>1385.19</v>
      </c>
      <c r="V16" s="93">
        <f t="shared" si="5"/>
        <v>1385.19</v>
      </c>
      <c r="W16" s="93">
        <f t="shared" si="5"/>
        <v>1385.19</v>
      </c>
    </row>
    <row r="17" spans="2:23" ht="15">
      <c r="B17" s="87" t="s">
        <v>90</v>
      </c>
      <c r="D17" s="93">
        <f>D16/C15</f>
        <v>138.519</v>
      </c>
      <c r="E17" s="93">
        <f>D17</f>
        <v>138.519</v>
      </c>
      <c r="F17" s="93">
        <f aca="true" t="shared" si="6" ref="F17:M17">E17</f>
        <v>138.519</v>
      </c>
      <c r="G17" s="93">
        <f t="shared" si="6"/>
        <v>138.519</v>
      </c>
      <c r="H17" s="93">
        <f t="shared" si="6"/>
        <v>138.519</v>
      </c>
      <c r="I17" s="93">
        <f t="shared" si="6"/>
        <v>138.519</v>
      </c>
      <c r="J17" s="93">
        <f t="shared" si="6"/>
        <v>138.519</v>
      </c>
      <c r="K17" s="93">
        <f t="shared" si="6"/>
        <v>138.519</v>
      </c>
      <c r="L17" s="93">
        <f t="shared" si="6"/>
        <v>138.519</v>
      </c>
      <c r="M17" s="93">
        <f t="shared" si="6"/>
        <v>138.519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</row>
    <row r="18" spans="2:23" ht="15">
      <c r="B18" s="87" t="s">
        <v>81</v>
      </c>
      <c r="D18" s="93">
        <f>D16-D17</f>
        <v>1246.671</v>
      </c>
      <c r="E18" s="93">
        <f>E16-E17*2</f>
        <v>1108.152</v>
      </c>
      <c r="F18" s="93">
        <f>F16-F17*3</f>
        <v>969.633</v>
      </c>
      <c r="G18" s="93">
        <f>G16-G17*4</f>
        <v>831.114</v>
      </c>
      <c r="H18" s="93">
        <f>H16-H17*5</f>
        <v>692.595</v>
      </c>
      <c r="I18" s="93">
        <f>I16-I17*6</f>
        <v>554.076</v>
      </c>
      <c r="J18" s="93">
        <f>J16-J17*7</f>
        <v>415.557</v>
      </c>
      <c r="K18" s="93">
        <f>K16-K17*8</f>
        <v>277.038</v>
      </c>
      <c r="L18" s="93">
        <f>L16-L17*9</f>
        <v>138.519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</row>
    <row r="19" spans="1:3" ht="15">
      <c r="A19" s="82">
        <v>2</v>
      </c>
      <c r="B19" s="82" t="s">
        <v>92</v>
      </c>
      <c r="C19" s="82">
        <v>5</v>
      </c>
    </row>
    <row r="20" spans="2:23" ht="15">
      <c r="B20" s="87" t="s">
        <v>80</v>
      </c>
      <c r="D20" s="93">
        <f>(400.27)*'10 sensitivity analysis'!B24</f>
        <v>400.27</v>
      </c>
      <c r="E20" s="93">
        <f>D20</f>
        <v>400.27</v>
      </c>
      <c r="F20" s="93">
        <f aca="true" t="shared" si="7" ref="F20:W20">E20</f>
        <v>400.27</v>
      </c>
      <c r="G20" s="93">
        <f t="shared" si="7"/>
        <v>400.27</v>
      </c>
      <c r="H20" s="93">
        <f t="shared" si="7"/>
        <v>400.27</v>
      </c>
      <c r="I20" s="93">
        <f t="shared" si="7"/>
        <v>400.27</v>
      </c>
      <c r="J20" s="93">
        <f t="shared" si="7"/>
        <v>400.27</v>
      </c>
      <c r="K20" s="93">
        <f t="shared" si="7"/>
        <v>400.27</v>
      </c>
      <c r="L20" s="93">
        <f t="shared" si="7"/>
        <v>400.27</v>
      </c>
      <c r="M20" s="93">
        <f t="shared" si="7"/>
        <v>400.27</v>
      </c>
      <c r="N20" s="93">
        <f t="shared" si="7"/>
        <v>400.27</v>
      </c>
      <c r="O20" s="93">
        <f t="shared" si="7"/>
        <v>400.27</v>
      </c>
      <c r="P20" s="93">
        <f t="shared" si="7"/>
        <v>400.27</v>
      </c>
      <c r="Q20" s="93">
        <f t="shared" si="7"/>
        <v>400.27</v>
      </c>
      <c r="R20" s="93">
        <f t="shared" si="7"/>
        <v>400.27</v>
      </c>
      <c r="S20" s="93">
        <f t="shared" si="7"/>
        <v>400.27</v>
      </c>
      <c r="T20" s="93">
        <f t="shared" si="7"/>
        <v>400.27</v>
      </c>
      <c r="U20" s="93">
        <f t="shared" si="7"/>
        <v>400.27</v>
      </c>
      <c r="V20" s="93">
        <f t="shared" si="7"/>
        <v>400.27</v>
      </c>
      <c r="W20" s="93">
        <f t="shared" si="7"/>
        <v>400.27</v>
      </c>
    </row>
    <row r="21" spans="2:23" ht="15">
      <c r="B21" s="87" t="s">
        <v>90</v>
      </c>
      <c r="D21" s="93">
        <f>D20/C19</f>
        <v>80.054</v>
      </c>
      <c r="E21" s="93">
        <f>D21</f>
        <v>80.054</v>
      </c>
      <c r="F21" s="93">
        <f>E21</f>
        <v>80.054</v>
      </c>
      <c r="G21" s="93">
        <f>F21</f>
        <v>80.054</v>
      </c>
      <c r="H21" s="93">
        <f>G21</f>
        <v>80.054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</row>
    <row r="22" spans="2:23" ht="15">
      <c r="B22" s="87" t="s">
        <v>81</v>
      </c>
      <c r="D22" s="93">
        <f>D20-D21</f>
        <v>320.216</v>
      </c>
      <c r="E22" s="93">
        <f>E20-E21*2</f>
        <v>240.16199999999998</v>
      </c>
      <c r="F22" s="93">
        <f>F20-F21*3</f>
        <v>160.10799999999998</v>
      </c>
      <c r="G22" s="93">
        <f>G20-G21*4</f>
        <v>80.05399999999997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1:2" ht="15">
      <c r="A23" s="82">
        <v>3</v>
      </c>
      <c r="B23" s="82" t="s">
        <v>93</v>
      </c>
    </row>
    <row r="24" spans="2:23" ht="15">
      <c r="B24" s="87" t="s">
        <v>80</v>
      </c>
      <c r="D24" s="93">
        <f>D4+D20</f>
        <v>4380.79</v>
      </c>
      <c r="E24" s="93">
        <f aca="true" t="shared" si="8" ref="E24:W24">E4+E20</f>
        <v>4380.79</v>
      </c>
      <c r="F24" s="93">
        <f t="shared" si="8"/>
        <v>4380.79</v>
      </c>
      <c r="G24" s="93">
        <f t="shared" si="8"/>
        <v>4380.79</v>
      </c>
      <c r="H24" s="93">
        <f t="shared" si="8"/>
        <v>4380.79</v>
      </c>
      <c r="I24" s="93">
        <f t="shared" si="8"/>
        <v>4380.79</v>
      </c>
      <c r="J24" s="93">
        <f t="shared" si="8"/>
        <v>4380.79</v>
      </c>
      <c r="K24" s="93">
        <f t="shared" si="8"/>
        <v>4380.79</v>
      </c>
      <c r="L24" s="93">
        <f t="shared" si="8"/>
        <v>4380.79</v>
      </c>
      <c r="M24" s="93">
        <f t="shared" si="8"/>
        <v>4380.79</v>
      </c>
      <c r="N24" s="93">
        <f t="shared" si="8"/>
        <v>4380.79</v>
      </c>
      <c r="O24" s="93">
        <f t="shared" si="8"/>
        <v>4380.79</v>
      </c>
      <c r="P24" s="93">
        <f t="shared" si="8"/>
        <v>4380.79</v>
      </c>
      <c r="Q24" s="93">
        <f t="shared" si="8"/>
        <v>4380.79</v>
      </c>
      <c r="R24" s="93">
        <f t="shared" si="8"/>
        <v>4380.79</v>
      </c>
      <c r="S24" s="93">
        <f t="shared" si="8"/>
        <v>4380.79</v>
      </c>
      <c r="T24" s="93">
        <f t="shared" si="8"/>
        <v>4380.79</v>
      </c>
      <c r="U24" s="93">
        <f t="shared" si="8"/>
        <v>4380.79</v>
      </c>
      <c r="V24" s="93">
        <f t="shared" si="8"/>
        <v>4380.79</v>
      </c>
      <c r="W24" s="93">
        <f t="shared" si="8"/>
        <v>4380.79</v>
      </c>
    </row>
    <row r="25" spans="2:13" ht="15">
      <c r="B25" s="87" t="s">
        <v>90</v>
      </c>
      <c r="D25" s="93">
        <f>D5+D21</f>
        <v>478.106</v>
      </c>
      <c r="E25" s="93">
        <f aca="true" t="shared" si="9" ref="E25:M25">E5+E21</f>
        <v>478.106</v>
      </c>
      <c r="F25" s="93">
        <f t="shared" si="9"/>
        <v>478.106</v>
      </c>
      <c r="G25" s="93">
        <f t="shared" si="9"/>
        <v>478.106</v>
      </c>
      <c r="H25" s="93">
        <f t="shared" si="9"/>
        <v>478.106</v>
      </c>
      <c r="I25" s="93">
        <f t="shared" si="9"/>
        <v>398.052</v>
      </c>
      <c r="J25" s="93">
        <f t="shared" si="9"/>
        <v>398.052</v>
      </c>
      <c r="K25" s="93">
        <f t="shared" si="9"/>
        <v>398.052</v>
      </c>
      <c r="L25" s="93">
        <f t="shared" si="9"/>
        <v>398.052</v>
      </c>
      <c r="M25" s="93">
        <f t="shared" si="9"/>
        <v>398.052</v>
      </c>
    </row>
    <row r="26" spans="2:13" ht="15">
      <c r="B26" s="87" t="s">
        <v>81</v>
      </c>
      <c r="D26" s="93">
        <f>D6+D22</f>
        <v>3902.6839999999997</v>
      </c>
      <c r="E26" s="93">
        <f aca="true" t="shared" si="10" ref="E26:L26">E6+E22</f>
        <v>3424.578</v>
      </c>
      <c r="F26" s="93">
        <f t="shared" si="10"/>
        <v>2946.4719999999998</v>
      </c>
      <c r="G26" s="93">
        <f t="shared" si="10"/>
        <v>2468.366</v>
      </c>
      <c r="H26" s="93">
        <f t="shared" si="10"/>
        <v>1990.26</v>
      </c>
      <c r="I26" s="93">
        <f t="shared" si="10"/>
        <v>1592.2079999999999</v>
      </c>
      <c r="J26" s="93">
        <f t="shared" si="10"/>
        <v>1194.1559999999997</v>
      </c>
      <c r="K26" s="93">
        <f t="shared" si="10"/>
        <v>796.1039999999998</v>
      </c>
      <c r="L26" s="93">
        <f t="shared" si="10"/>
        <v>398.0519999999999</v>
      </c>
      <c r="M26" s="9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1"/>
  <sheetViews>
    <sheetView zoomScale="115" zoomScaleNormal="115" workbookViewId="0" topLeftCell="C1">
      <selection activeCell="H7" sqref="H7"/>
    </sheetView>
  </sheetViews>
  <sheetFormatPr defaultColWidth="9.00390625" defaultRowHeight="13.5"/>
  <cols>
    <col min="1" max="1" width="12.625" style="82" customWidth="1"/>
    <col min="2" max="2" width="6.125" style="82" customWidth="1"/>
    <col min="3" max="3" width="21.50390625" style="82" customWidth="1"/>
    <col min="4" max="4" width="7.625" style="82" customWidth="1"/>
    <col min="5" max="8" width="9.50390625" style="82" bestFit="1" customWidth="1"/>
    <col min="9" max="17" width="9.00390625" style="82" customWidth="1"/>
    <col min="18" max="18" width="10.125" style="82" customWidth="1"/>
    <col min="19" max="19" width="10.00390625" style="82" customWidth="1"/>
    <col min="20" max="20" width="8.125" style="82" customWidth="1"/>
    <col min="21" max="24" width="9.00390625" style="82" customWidth="1"/>
    <col min="25" max="25" width="11.25390625" style="82" customWidth="1"/>
    <col min="26" max="26" width="10.375" style="82" customWidth="1"/>
    <col min="27" max="16384" width="9.00390625" style="82" customWidth="1"/>
  </cols>
  <sheetData>
    <row r="1" ht="15">
      <c r="A1" s="160" t="s">
        <v>134</v>
      </c>
    </row>
    <row r="2" spans="2:26" ht="15.75">
      <c r="B2" s="107" t="s">
        <v>0</v>
      </c>
      <c r="C2" s="108" t="s">
        <v>4</v>
      </c>
      <c r="D2" s="108" t="s">
        <v>135</v>
      </c>
      <c r="E2" s="182" t="s">
        <v>19</v>
      </c>
      <c r="F2" s="182"/>
      <c r="G2" s="108">
        <v>3</v>
      </c>
      <c r="H2" s="108">
        <v>4</v>
      </c>
      <c r="I2" s="108">
        <v>5</v>
      </c>
      <c r="J2" s="108">
        <v>6</v>
      </c>
      <c r="K2" s="108">
        <v>7</v>
      </c>
      <c r="L2" s="108">
        <v>8</v>
      </c>
      <c r="M2" s="108">
        <v>9</v>
      </c>
      <c r="N2" s="108">
        <v>10</v>
      </c>
      <c r="O2" s="108">
        <v>11</v>
      </c>
      <c r="P2" s="108">
        <v>12</v>
      </c>
      <c r="Q2" s="89">
        <v>13</v>
      </c>
      <c r="R2" s="89">
        <v>14</v>
      </c>
      <c r="S2" s="89">
        <v>15</v>
      </c>
      <c r="T2" s="89">
        <v>16</v>
      </c>
      <c r="U2" s="89">
        <v>17</v>
      </c>
      <c r="V2" s="89">
        <v>18</v>
      </c>
      <c r="W2" s="89">
        <v>19</v>
      </c>
      <c r="X2" s="89">
        <v>20</v>
      </c>
      <c r="Y2" s="89">
        <v>21</v>
      </c>
      <c r="Z2" s="89">
        <v>22</v>
      </c>
    </row>
    <row r="3" spans="1:16" ht="15">
      <c r="A3" s="109"/>
      <c r="B3" s="109"/>
      <c r="C3" s="109" t="s">
        <v>98</v>
      </c>
      <c r="D3" s="110">
        <v>0.0612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26" ht="30">
      <c r="A4" s="109"/>
      <c r="B4" s="109">
        <v>1</v>
      </c>
      <c r="C4" s="109" t="s">
        <v>137</v>
      </c>
      <c r="D4" s="109"/>
      <c r="E4" s="109"/>
      <c r="F4" s="88">
        <f>+E4+E5+E6-E7</f>
        <v>16314.398</v>
      </c>
      <c r="G4" s="88">
        <f>F12</f>
        <v>33627.2371576</v>
      </c>
      <c r="H4" s="88">
        <f aca="true" t="shared" si="0" ref="H4:Z4">G12</f>
        <v>31392.57256139607</v>
      </c>
      <c r="I4" s="88">
        <f t="shared" si="0"/>
        <v>27480.0294416922</v>
      </c>
      <c r="J4" s="88">
        <f t="shared" si="0"/>
        <v>23328.038683062456</v>
      </c>
      <c r="K4" s="88">
        <f t="shared" si="0"/>
        <v>19181.486838606623</v>
      </c>
      <c r="L4" s="88">
        <f t="shared" si="0"/>
        <v>14976.975363037323</v>
      </c>
      <c r="M4" s="88">
        <f t="shared" si="0"/>
        <v>10649.083715778204</v>
      </c>
      <c r="N4" s="88">
        <f t="shared" si="0"/>
        <v>6161.477286325295</v>
      </c>
      <c r="O4" s="88">
        <f t="shared" si="0"/>
        <v>1508.2620242424264</v>
      </c>
      <c r="P4" s="88">
        <f t="shared" si="0"/>
        <v>0</v>
      </c>
      <c r="Q4" s="88">
        <f t="shared" si="0"/>
        <v>0</v>
      </c>
      <c r="R4" s="88">
        <f t="shared" si="0"/>
        <v>0</v>
      </c>
      <c r="S4" s="88">
        <f t="shared" si="0"/>
        <v>0</v>
      </c>
      <c r="T4" s="88">
        <f t="shared" si="0"/>
        <v>0</v>
      </c>
      <c r="U4" s="88">
        <f t="shared" si="0"/>
        <v>0</v>
      </c>
      <c r="V4" s="88">
        <f t="shared" si="0"/>
        <v>0</v>
      </c>
      <c r="W4" s="88">
        <f t="shared" si="0"/>
        <v>0</v>
      </c>
      <c r="X4" s="88">
        <f t="shared" si="0"/>
        <v>0</v>
      </c>
      <c r="Y4" s="88">
        <f t="shared" si="0"/>
        <v>0</v>
      </c>
      <c r="Z4" s="88">
        <f t="shared" si="0"/>
        <v>0</v>
      </c>
    </row>
    <row r="5" spans="1:16" ht="15">
      <c r="A5" s="109"/>
      <c r="B5" s="109">
        <v>3</v>
      </c>
      <c r="C5" s="109" t="s">
        <v>136</v>
      </c>
      <c r="E5" s="88">
        <f>'1 fund usage plan'!D5</f>
        <v>15830</v>
      </c>
      <c r="F5" s="88">
        <f>'1 fund usage plan'!E5</f>
        <v>15830</v>
      </c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2:16" ht="15">
      <c r="B6" s="82">
        <v>4</v>
      </c>
      <c r="C6" s="82" t="s">
        <v>138</v>
      </c>
      <c r="E6" s="87">
        <f>'1 fund usage plan'!D7</f>
        <v>484.39799999999997</v>
      </c>
      <c r="F6" s="87">
        <f>'1 fund usage plan'!E7</f>
        <v>1482.8391576</v>
      </c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2:26" ht="15">
      <c r="B7" s="82">
        <v>5</v>
      </c>
      <c r="C7" s="111" t="s">
        <v>174</v>
      </c>
      <c r="D7" s="111"/>
      <c r="E7" s="162"/>
      <c r="F7" s="162"/>
      <c r="G7" s="162">
        <f>IF('11 RFR '!L3=1,'8 interest'!G30,'8 interest'!G31)</f>
        <v>2234.6645962039283</v>
      </c>
      <c r="H7" s="162">
        <f>IF('11 RFR '!M3=1,'8 interest'!H30,'8 interest'!H31)</f>
        <v>3912.5431197038697</v>
      </c>
      <c r="I7" s="162">
        <f>IF('11 RFR '!N3=1,'8 interest'!I30,'8 interest'!I31)</f>
        <v>4151.990758629746</v>
      </c>
      <c r="J7" s="162">
        <f>IF('11 RFR '!O3=1,'8 interest'!J30,'8 interest'!J31)</f>
        <v>4146.551844455834</v>
      </c>
      <c r="K7" s="162">
        <f>IF('11 RFR '!P3=1,'8 interest'!K30,'8 interest'!K31)</f>
        <v>4204.511475569299</v>
      </c>
      <c r="L7" s="162">
        <f>IF('11 RFR '!Q3=1,'8 interest'!L30,'8 interest'!L31)</f>
        <v>4327.891647259118</v>
      </c>
      <c r="M7" s="162">
        <f>IF('11 RFR '!R3=1,'8 interest'!M30,'8 interest'!M31)</f>
        <v>4487.60642945291</v>
      </c>
      <c r="N7" s="162">
        <f>IF('11 RFR '!S3=1,'8 interest'!N30,'8 interest'!N31)</f>
        <v>4653.215262082868</v>
      </c>
      <c r="O7" s="162">
        <f>IF('11 RFR '!T3=1,'8 interest'!O30,'8 interest'!O31)</f>
        <v>1508.2620242424264</v>
      </c>
      <c r="P7" s="162">
        <f>IF('11 RFR '!U3=1,'8 interest'!P30,'8 interest'!P31)</f>
        <v>0</v>
      </c>
      <c r="Q7" s="162">
        <f>IF('11 RFR '!V3=1,'8 interest'!Q30,'8 interest'!Q31)</f>
        <v>0</v>
      </c>
      <c r="R7" s="162">
        <f>IF('11 RFR '!W3=1,'8 interest'!R30,'8 interest'!R31)</f>
        <v>0</v>
      </c>
      <c r="S7" s="162">
        <f>IF('11 RFR '!X3=1,'8 interest'!S30,'8 interest'!S31)</f>
        <v>0</v>
      </c>
      <c r="T7" s="162">
        <f>IF('11 RFR '!Y3=1,'8 interest'!T30,'8 interest'!T31)</f>
        <v>0</v>
      </c>
      <c r="U7" s="162">
        <f>IF('11 RFR '!Z3=1,'8 interest'!U30,'8 interest'!U31)</f>
        <v>0</v>
      </c>
      <c r="V7" s="162">
        <f>IF('11 RFR '!AA3=1,'8 interest'!V30,'8 interest'!V31)</f>
        <v>0</v>
      </c>
      <c r="W7" s="162">
        <f>IF('11 RFR '!AB3=1,'8 interest'!W30,'8 interest'!W31)</f>
        <v>0</v>
      </c>
      <c r="X7" s="162">
        <f>IF('11 RFR '!AC3=1,'8 interest'!X30,'8 interest'!X31)</f>
        <v>0</v>
      </c>
      <c r="Y7" s="162">
        <f>IF('11 RFR '!AD3=1,'8 interest'!Y30,'8 interest'!Y31)</f>
        <v>0</v>
      </c>
      <c r="Z7" s="162">
        <f>IF('11 RFR '!AE3=1,'8 interest'!Z30,'8 interest'!Z31)</f>
        <v>0</v>
      </c>
    </row>
    <row r="8" spans="2:26" ht="15">
      <c r="B8" s="82">
        <v>5.1</v>
      </c>
      <c r="C8" s="87" t="s">
        <v>85</v>
      </c>
      <c r="E8" s="87"/>
      <c r="F8" s="87"/>
      <c r="G8" s="87">
        <f>'6 Depreciation of fixed assets'!D6</f>
        <v>3034.778008333333</v>
      </c>
      <c r="H8" s="87">
        <f>'6 Depreciation of fixed assets'!E6</f>
        <v>3034.778008333333</v>
      </c>
      <c r="I8" s="87">
        <f>'6 Depreciation of fixed assets'!F6</f>
        <v>3034.778008333333</v>
      </c>
      <c r="J8" s="87">
        <f>'6 Depreciation of fixed assets'!G6</f>
        <v>3034.778008333333</v>
      </c>
      <c r="K8" s="87">
        <f>'6 Depreciation of fixed assets'!H6</f>
        <v>3034.778008333333</v>
      </c>
      <c r="L8" s="87">
        <f>'6 Depreciation of fixed assets'!I6</f>
        <v>3034.778008333333</v>
      </c>
      <c r="M8" s="87">
        <f>'6 Depreciation of fixed assets'!J6</f>
        <v>3034.778008333333</v>
      </c>
      <c r="N8" s="87">
        <f>'6 Depreciation of fixed assets'!K6</f>
        <v>3034.778008333333</v>
      </c>
      <c r="O8" s="87">
        <f>'6 Depreciation of fixed assets'!L6</f>
        <v>3034.778008333333</v>
      </c>
      <c r="P8" s="87">
        <f>'6 Depreciation of fixed assets'!M6</f>
        <v>3034.778008333333</v>
      </c>
      <c r="Q8" s="87">
        <f>'6 Depreciation of fixed assets'!N6</f>
        <v>2785.7991583333333</v>
      </c>
      <c r="R8" s="87">
        <f>'6 Depreciation of fixed assets'!O6</f>
        <v>2785.7991583333333</v>
      </c>
      <c r="S8" s="87">
        <f>'6 Depreciation of fixed assets'!P6</f>
        <v>593.411325</v>
      </c>
      <c r="T8" s="87">
        <f>'6 Depreciation of fixed assets'!Q6</f>
        <v>593.411325</v>
      </c>
      <c r="U8" s="87">
        <f>'6 Depreciation of fixed assets'!R6</f>
        <v>593.411325</v>
      </c>
      <c r="V8" s="87">
        <f>'6 Depreciation of fixed assets'!S6</f>
        <v>593.411325</v>
      </c>
      <c r="W8" s="87">
        <f>'6 Depreciation of fixed assets'!T6</f>
        <v>593.411325</v>
      </c>
      <c r="X8" s="87">
        <f>'6 Depreciation of fixed assets'!U6</f>
        <v>593.411325</v>
      </c>
      <c r="Y8" s="87">
        <f>'6 Depreciation of fixed assets'!V6</f>
        <v>593.411325</v>
      </c>
      <c r="Z8" s="87">
        <f>'6 Depreciation of fixed assets'!W6</f>
        <v>593.411325</v>
      </c>
    </row>
    <row r="9" spans="2:26" ht="15">
      <c r="B9" s="82">
        <v>5.2</v>
      </c>
      <c r="C9" s="87" t="s">
        <v>90</v>
      </c>
      <c r="E9" s="87"/>
      <c r="F9" s="87"/>
      <c r="G9" s="87">
        <f>'7Intangible &amp; deferred amortize'!D25</f>
        <v>478.106</v>
      </c>
      <c r="H9" s="87">
        <f>'7Intangible &amp; deferred amortize'!E25</f>
        <v>478.106</v>
      </c>
      <c r="I9" s="87">
        <f>'7Intangible &amp; deferred amortize'!F25</f>
        <v>478.106</v>
      </c>
      <c r="J9" s="87">
        <f>'7Intangible &amp; deferred amortize'!G25</f>
        <v>478.106</v>
      </c>
      <c r="K9" s="87">
        <f>'7Intangible &amp; deferred amortize'!H25</f>
        <v>478.106</v>
      </c>
      <c r="L9" s="87">
        <f>'7Intangible &amp; deferred amortize'!I25</f>
        <v>398.052</v>
      </c>
      <c r="M9" s="87">
        <f>'7Intangible &amp; deferred amortize'!J25</f>
        <v>398.052</v>
      </c>
      <c r="N9" s="87">
        <f>'7Intangible &amp; deferred amortize'!K25</f>
        <v>398.052</v>
      </c>
      <c r="O9" s="87">
        <f>'7Intangible &amp; deferred amortize'!L25</f>
        <v>398.052</v>
      </c>
      <c r="P9" s="87">
        <f>'7Intangible &amp; deferred amortize'!M25</f>
        <v>398.052</v>
      </c>
      <c r="Q9" s="87">
        <f>'7Intangible &amp; deferred amortize'!N25</f>
        <v>0</v>
      </c>
      <c r="R9" s="87">
        <f>'7Intangible &amp; deferred amortize'!O25</f>
        <v>0</v>
      </c>
      <c r="S9" s="87">
        <f>'7Intangible &amp; deferred amortize'!P25</f>
        <v>0</v>
      </c>
      <c r="T9" s="87">
        <f>'7Intangible &amp; deferred amortize'!Q25</f>
        <v>0</v>
      </c>
      <c r="U9" s="87">
        <f>'7Intangible &amp; deferred amortize'!R25</f>
        <v>0</v>
      </c>
      <c r="V9" s="87">
        <f>'7Intangible &amp; deferred amortize'!S25</f>
        <v>0</v>
      </c>
      <c r="W9" s="87">
        <f>'7Intangible &amp; deferred amortize'!T25</f>
        <v>0</v>
      </c>
      <c r="X9" s="87">
        <f>'7Intangible &amp; deferred amortize'!U25</f>
        <v>0</v>
      </c>
      <c r="Y9" s="87">
        <f>'7Intangible &amp; deferred amortize'!V25</f>
        <v>0</v>
      </c>
      <c r="Z9" s="87">
        <f>'7Intangible &amp; deferred amortize'!W25</f>
        <v>0</v>
      </c>
    </row>
    <row r="10" spans="2:26" ht="15">
      <c r="B10" s="82">
        <v>5.3</v>
      </c>
      <c r="C10" s="111" t="s">
        <v>143</v>
      </c>
      <c r="E10" s="87"/>
      <c r="F10" s="87"/>
      <c r="G10" s="87">
        <f>'5 Profit and loss'!D12-'5 Profit and loss'!D13</f>
        <v>-1278.219412129405</v>
      </c>
      <c r="H10" s="87">
        <f>'5 Profit and loss'!E12-'5 Profit and loss'!E13</f>
        <v>399.65911137053627</v>
      </c>
      <c r="I10" s="87">
        <f>'5 Profit and loss'!F12-'5 Profit and loss'!F13</f>
        <v>639.1067502964124</v>
      </c>
      <c r="J10" s="87">
        <f>'5 Profit and loss'!G12-'5 Profit and loss'!G13</f>
        <v>633.6678361225004</v>
      </c>
      <c r="K10" s="87">
        <f>'5 Profit and loss'!H12-'5 Profit and loss'!H13</f>
        <v>691.6274672359662</v>
      </c>
      <c r="L10" s="87">
        <f>'5 Profit and loss'!I12-'5 Profit and loss'!I13</f>
        <v>895.0616389257845</v>
      </c>
      <c r="M10" s="87">
        <f>'5 Profit and loss'!J12-'5 Profit and loss'!J13</f>
        <v>1054.7764211195768</v>
      </c>
      <c r="N10" s="87">
        <f>'5 Profit and loss'!K12-'5 Profit and loss'!K13</f>
        <v>1220.3852537495352</v>
      </c>
      <c r="O10" s="87">
        <f>'5 Profit and loss'!L12-'5 Profit and loss'!L13</f>
        <v>1392.1056484953356</v>
      </c>
      <c r="P10" s="87">
        <f>'5 Profit and loss'!M12-'5 Profit and loss'!M13</f>
        <v>1447.7659469331688</v>
      </c>
      <c r="Q10" s="87">
        <f>'5 Profit and loss'!N12-'5 Profit and loss'!N13</f>
        <v>1837.9255494831682</v>
      </c>
      <c r="R10" s="87">
        <f>'5 Profit and loss'!O12-'5 Profit and loss'!O13</f>
        <v>1837.9255494831682</v>
      </c>
      <c r="S10" s="87">
        <f>'5 Profit and loss'!P12-'5 Profit and loss'!P13</f>
        <v>3159.935412983168</v>
      </c>
      <c r="T10" s="87">
        <f>'5 Profit and loss'!Q12-'5 Profit and loss'!Q13</f>
        <v>3159.935412983168</v>
      </c>
      <c r="U10" s="87">
        <f>'5 Profit and loss'!R12-'5 Profit and loss'!R13</f>
        <v>3159.935412983168</v>
      </c>
      <c r="V10" s="87">
        <f>'5 Profit and loss'!S12-'5 Profit and loss'!S13</f>
        <v>3159.935412983168</v>
      </c>
      <c r="W10" s="87">
        <f>'5 Profit and loss'!T12-'5 Profit and loss'!T13</f>
        <v>3159.935412983168</v>
      </c>
      <c r="X10" s="87">
        <f>'5 Profit and loss'!U12-'5 Profit and loss'!U13</f>
        <v>3159.935412983168</v>
      </c>
      <c r="Y10" s="87">
        <f>'5 Profit and loss'!V12-'5 Profit and loss'!V13</f>
        <v>3159.935412983168</v>
      </c>
      <c r="Z10" s="87">
        <f>'5 Profit and loss'!W12-'5 Profit and loss'!W13</f>
        <v>3159.935412983168</v>
      </c>
    </row>
    <row r="11" spans="2:26" ht="15">
      <c r="B11" s="82">
        <v>6</v>
      </c>
      <c r="C11" s="82" t="s">
        <v>139</v>
      </c>
      <c r="E11" s="87"/>
      <c r="F11" s="87"/>
      <c r="G11" s="87">
        <f>G4*0.0612</f>
        <v>2057.98691404512</v>
      </c>
      <c r="H11" s="87">
        <f aca="true" t="shared" si="1" ref="H11:Z11">H4*0.0612</f>
        <v>1921.2254407574394</v>
      </c>
      <c r="I11" s="87">
        <f t="shared" si="1"/>
        <v>1681.7778018315626</v>
      </c>
      <c r="J11" s="87">
        <f t="shared" si="1"/>
        <v>1427.6759674034222</v>
      </c>
      <c r="K11" s="87">
        <f t="shared" si="1"/>
        <v>1173.9069945227252</v>
      </c>
      <c r="L11" s="87">
        <f t="shared" si="1"/>
        <v>916.5908922178842</v>
      </c>
      <c r="M11" s="87">
        <f t="shared" si="1"/>
        <v>651.7239234056261</v>
      </c>
      <c r="N11" s="87">
        <f t="shared" si="1"/>
        <v>377.082409923108</v>
      </c>
      <c r="O11" s="87">
        <f t="shared" si="1"/>
        <v>92.30563588363648</v>
      </c>
      <c r="P11" s="87">
        <f t="shared" si="1"/>
        <v>0</v>
      </c>
      <c r="Q11" s="87">
        <f t="shared" si="1"/>
        <v>0</v>
      </c>
      <c r="R11" s="87">
        <f t="shared" si="1"/>
        <v>0</v>
      </c>
      <c r="S11" s="87">
        <f t="shared" si="1"/>
        <v>0</v>
      </c>
      <c r="T11" s="87">
        <f t="shared" si="1"/>
        <v>0</v>
      </c>
      <c r="U11" s="87">
        <f t="shared" si="1"/>
        <v>0</v>
      </c>
      <c r="V11" s="87">
        <f t="shared" si="1"/>
        <v>0</v>
      </c>
      <c r="W11" s="87">
        <f t="shared" si="1"/>
        <v>0</v>
      </c>
      <c r="X11" s="87">
        <f t="shared" si="1"/>
        <v>0</v>
      </c>
      <c r="Y11" s="87">
        <f t="shared" si="1"/>
        <v>0</v>
      </c>
      <c r="Z11" s="87">
        <f t="shared" si="1"/>
        <v>0</v>
      </c>
    </row>
    <row r="12" spans="2:26" ht="30">
      <c r="B12" s="82">
        <v>7</v>
      </c>
      <c r="C12" s="109" t="s">
        <v>144</v>
      </c>
      <c r="E12" s="87"/>
      <c r="F12" s="87">
        <f>F4+F5+F6</f>
        <v>33627.2371576</v>
      </c>
      <c r="G12" s="87">
        <f>G4-G7</f>
        <v>31392.57256139607</v>
      </c>
      <c r="H12" s="87">
        <f aca="true" t="shared" si="2" ref="H12:Z12">H4-H7</f>
        <v>27480.0294416922</v>
      </c>
      <c r="I12" s="87">
        <f t="shared" si="2"/>
        <v>23328.038683062456</v>
      </c>
      <c r="J12" s="87">
        <f t="shared" si="2"/>
        <v>19181.486838606623</v>
      </c>
      <c r="K12" s="87">
        <f t="shared" si="2"/>
        <v>14976.975363037323</v>
      </c>
      <c r="L12" s="87">
        <f t="shared" si="2"/>
        <v>10649.083715778204</v>
      </c>
      <c r="M12" s="87">
        <f t="shared" si="2"/>
        <v>6161.477286325295</v>
      </c>
      <c r="N12" s="87">
        <f t="shared" si="2"/>
        <v>1508.2620242424264</v>
      </c>
      <c r="O12" s="87">
        <f t="shared" si="2"/>
        <v>0</v>
      </c>
      <c r="P12" s="87">
        <f t="shared" si="2"/>
        <v>0</v>
      </c>
      <c r="Q12" s="87">
        <f t="shared" si="2"/>
        <v>0</v>
      </c>
      <c r="R12" s="87">
        <f t="shared" si="2"/>
        <v>0</v>
      </c>
      <c r="S12" s="87">
        <f t="shared" si="2"/>
        <v>0</v>
      </c>
      <c r="T12" s="87">
        <f t="shared" si="2"/>
        <v>0</v>
      </c>
      <c r="U12" s="87">
        <f t="shared" si="2"/>
        <v>0</v>
      </c>
      <c r="V12" s="87">
        <f t="shared" si="2"/>
        <v>0</v>
      </c>
      <c r="W12" s="87">
        <f t="shared" si="2"/>
        <v>0</v>
      </c>
      <c r="X12" s="87">
        <f t="shared" si="2"/>
        <v>0</v>
      </c>
      <c r="Y12" s="87">
        <f t="shared" si="2"/>
        <v>0</v>
      </c>
      <c r="Z12" s="87">
        <f t="shared" si="2"/>
        <v>0</v>
      </c>
    </row>
    <row r="14" spans="1:3" ht="15">
      <c r="A14" s="57" t="s">
        <v>17</v>
      </c>
      <c r="C14" s="115"/>
    </row>
    <row r="15" spans="2:24" ht="15.75" customHeight="1">
      <c r="B15" s="107" t="s">
        <v>0</v>
      </c>
      <c r="C15" s="108" t="s">
        <v>4</v>
      </c>
      <c r="D15" s="108" t="s">
        <v>135</v>
      </c>
      <c r="E15" s="108">
        <v>3</v>
      </c>
      <c r="F15" s="108">
        <v>4</v>
      </c>
      <c r="G15" s="108">
        <v>5</v>
      </c>
      <c r="H15" s="108">
        <v>6</v>
      </c>
      <c r="I15" s="108">
        <v>7</v>
      </c>
      <c r="J15" s="108">
        <v>8</v>
      </c>
      <c r="K15" s="108">
        <v>9</v>
      </c>
      <c r="L15" s="108">
        <v>10</v>
      </c>
      <c r="M15" s="108">
        <v>11</v>
      </c>
      <c r="N15" s="108">
        <v>12</v>
      </c>
      <c r="O15" s="89">
        <v>13</v>
      </c>
      <c r="P15" s="89">
        <v>14</v>
      </c>
      <c r="Q15" s="89">
        <v>15</v>
      </c>
      <c r="R15" s="89">
        <v>16</v>
      </c>
      <c r="S15" s="89">
        <v>17</v>
      </c>
      <c r="T15" s="89">
        <v>18</v>
      </c>
      <c r="U15" s="89">
        <v>19</v>
      </c>
      <c r="V15" s="89">
        <v>20</v>
      </c>
      <c r="W15" s="89">
        <v>21</v>
      </c>
      <c r="X15" s="89">
        <v>22</v>
      </c>
    </row>
    <row r="16" spans="4:7" ht="15">
      <c r="D16" s="97">
        <v>0.0558</v>
      </c>
      <c r="G16" s="87"/>
    </row>
    <row r="17" spans="2:24" ht="15">
      <c r="B17" s="82">
        <v>1</v>
      </c>
      <c r="C17" s="82" t="s">
        <v>102</v>
      </c>
      <c r="E17" s="87">
        <f>'1 fund usage plan'!F10</f>
        <v>342.55899999999997</v>
      </c>
      <c r="F17" s="87">
        <f>'1 fund usage plan'!G10</f>
        <v>23.513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2:24" ht="15">
      <c r="B18" s="82">
        <v>2</v>
      </c>
      <c r="C18" s="82" t="s">
        <v>142</v>
      </c>
      <c r="E18" s="87">
        <f>E17*D16</f>
        <v>19.1147922</v>
      </c>
      <c r="F18" s="87">
        <f>(E17+F17)*D16</f>
        <v>20.426817599999996</v>
      </c>
      <c r="G18" s="87">
        <f aca="true" t="shared" si="3" ref="G18:X18">F18</f>
        <v>20.426817599999996</v>
      </c>
      <c r="H18" s="87">
        <f t="shared" si="3"/>
        <v>20.426817599999996</v>
      </c>
      <c r="I18" s="87">
        <f t="shared" si="3"/>
        <v>20.426817599999996</v>
      </c>
      <c r="J18" s="87">
        <f t="shared" si="3"/>
        <v>20.426817599999996</v>
      </c>
      <c r="K18" s="87">
        <f t="shared" si="3"/>
        <v>20.426817599999996</v>
      </c>
      <c r="L18" s="87">
        <f t="shared" si="3"/>
        <v>20.426817599999996</v>
      </c>
      <c r="M18" s="87">
        <f t="shared" si="3"/>
        <v>20.426817599999996</v>
      </c>
      <c r="N18" s="87">
        <f t="shared" si="3"/>
        <v>20.426817599999996</v>
      </c>
      <c r="O18" s="87">
        <f t="shared" si="3"/>
        <v>20.426817599999996</v>
      </c>
      <c r="P18" s="87">
        <f t="shared" si="3"/>
        <v>20.426817599999996</v>
      </c>
      <c r="Q18" s="87">
        <f t="shared" si="3"/>
        <v>20.426817599999996</v>
      </c>
      <c r="R18" s="87">
        <f t="shared" si="3"/>
        <v>20.426817599999996</v>
      </c>
      <c r="S18" s="87">
        <f t="shared" si="3"/>
        <v>20.426817599999996</v>
      </c>
      <c r="T18" s="87">
        <f t="shared" si="3"/>
        <v>20.426817599999996</v>
      </c>
      <c r="U18" s="87">
        <f t="shared" si="3"/>
        <v>20.426817599999996</v>
      </c>
      <c r="V18" s="87">
        <f t="shared" si="3"/>
        <v>20.426817599999996</v>
      </c>
      <c r="W18" s="87">
        <f t="shared" si="3"/>
        <v>20.426817599999996</v>
      </c>
      <c r="X18" s="87">
        <f t="shared" si="3"/>
        <v>20.426817599999996</v>
      </c>
    </row>
    <row r="19" spans="5:24" ht="15"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5:24" ht="15"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5:24" ht="15"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5:24" ht="15"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5:24" ht="15"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5:24" ht="15"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5:24" ht="15"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5:24" ht="15"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5:24" ht="15"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30" spans="7:26" ht="15" hidden="1">
      <c r="G30" s="158">
        <v>2234.6645962039283</v>
      </c>
      <c r="H30" s="158">
        <v>3912.5431197038697</v>
      </c>
      <c r="I30" s="158">
        <v>4151.990758629746</v>
      </c>
      <c r="J30" s="158">
        <v>4146.551844455834</v>
      </c>
      <c r="K30" s="158">
        <v>4204.511475569299</v>
      </c>
      <c r="L30" s="158">
        <v>4327.891647259118</v>
      </c>
      <c r="M30" s="158">
        <v>4487.60642945291</v>
      </c>
      <c r="N30" s="158">
        <v>4653.215262082868</v>
      </c>
      <c r="O30" s="158">
        <v>1508.2620242424264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</row>
    <row r="31" spans="7:26" ht="15" hidden="1">
      <c r="G31" s="82">
        <f>G30*'10 sensitivity analysis'!$B$24</f>
        <v>2234.6645962039283</v>
      </c>
      <c r="H31" s="82">
        <f>H30*'10 sensitivity analysis'!$B$24</f>
        <v>3912.5431197038697</v>
      </c>
      <c r="I31" s="82">
        <f>I30*'10 sensitivity analysis'!$B$24</f>
        <v>4151.990758629746</v>
      </c>
      <c r="J31" s="82">
        <f>J30*'10 sensitivity analysis'!$B$24</f>
        <v>4146.551844455834</v>
      </c>
      <c r="K31" s="82">
        <f>K30*'10 sensitivity analysis'!$B$24</f>
        <v>4204.511475569299</v>
      </c>
      <c r="L31" s="82">
        <f>L30*'10 sensitivity analysis'!$B$24</f>
        <v>4327.891647259118</v>
      </c>
      <c r="M31" s="82">
        <f>M30*'10 sensitivity analysis'!$B$24</f>
        <v>4487.60642945291</v>
      </c>
      <c r="N31" s="82">
        <f>N30*'10 sensitivity analysis'!$B$24</f>
        <v>4653.215262082868</v>
      </c>
      <c r="O31" s="82">
        <f>O30*'10 sensitivity analysis'!$B$24</f>
        <v>1508.2620242424264</v>
      </c>
      <c r="P31" s="82">
        <f>P30*'10 sensitivity analysis'!$B$24</f>
        <v>0</v>
      </c>
      <c r="Q31" s="82">
        <f>Q30*'10 sensitivity analysis'!$B$24</f>
        <v>0</v>
      </c>
      <c r="R31" s="82">
        <f>R30*'10 sensitivity analysis'!$B$24</f>
        <v>0</v>
      </c>
      <c r="S31" s="82">
        <f>S30*'10 sensitivity analysis'!$B$24</f>
        <v>0</v>
      </c>
      <c r="T31" s="82">
        <f>T30*'10 sensitivity analysis'!$B$24</f>
        <v>0</v>
      </c>
      <c r="U31" s="82">
        <f>U30*'10 sensitivity analysis'!$B$24</f>
        <v>0</v>
      </c>
      <c r="V31" s="82">
        <f>V30*'10 sensitivity analysis'!$B$24</f>
        <v>0</v>
      </c>
      <c r="W31" s="82">
        <f>W30*'10 sensitivity analysis'!$B$24</f>
        <v>0</v>
      </c>
      <c r="X31" s="82">
        <f>X30*'10 sensitivity analysis'!$B$24</f>
        <v>0</v>
      </c>
      <c r="Y31" s="82">
        <f>Y30*'10 sensitivity analysis'!$B$24</f>
        <v>0</v>
      </c>
      <c r="Z31" s="82">
        <f>Z30*'10 sensitivity analysis'!$B$24</f>
        <v>0</v>
      </c>
    </row>
  </sheetData>
  <sheetProtection password="CF7A" sheet="1" objects="1" scenarios="1"/>
  <mergeCells count="1">
    <mergeCell ref="E2:F2"/>
  </mergeCells>
  <printOptions/>
  <pageMargins left="0.75" right="0.75" top="1" bottom="1" header="0.5" footer="0.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xingfangfang</dc:creator>
  <cp:keywords/>
  <dc:description/>
  <cp:lastModifiedBy>Lee.Moscovitch</cp:lastModifiedBy>
  <dcterms:created xsi:type="dcterms:W3CDTF">2007-09-29T00:39:55Z</dcterms:created>
  <dcterms:modified xsi:type="dcterms:W3CDTF">2008-08-05T12:35:44Z</dcterms:modified>
  <cp:category/>
  <cp:version/>
  <cp:contentType/>
  <cp:contentStatus/>
</cp:coreProperties>
</file>