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80" windowWidth="11415" windowHeight="3525" tabRatio="848" activeTab="0"/>
  </bookViews>
  <sheets>
    <sheet name="Guaranted Energy" sheetId="1" r:id="rId1"/>
    <sheet name="Carhuaquero IV" sheetId="2" r:id="rId2"/>
  </sheets>
  <definedNames>
    <definedName name="_xlnm.Print_Area" localSheetId="1">'Carhuaquero IV'!$A$1:$AD$55</definedName>
    <definedName name="_xlnm.Print_Area" localSheetId="0">'Guaranted Energy'!$A$1:$Q$54</definedName>
  </definedNames>
  <calcPr fullCalcOnLoad="1"/>
</workbook>
</file>

<file path=xl/sharedStrings.xml><?xml version="1.0" encoding="utf-8"?>
<sst xmlns="http://schemas.openxmlformats.org/spreadsheetml/2006/main" count="147" uniqueCount="89">
  <si>
    <t>GWh</t>
  </si>
  <si>
    <t>MW / m3/s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</si>
  <si>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</si>
  <si>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</si>
  <si>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</si>
  <si>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</si>
  <si>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</si>
  <si>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</si>
  <si>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</si>
  <si>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</si>
  <si>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</si>
  <si>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</si>
  <si>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</si>
  <si>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</si>
  <si>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</si>
  <si>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m3/s</t>
  </si>
  <si>
    <t>MMC</t>
  </si>
  <si>
    <t xml:space="preserve">Rendimiento : </t>
  </si>
  <si>
    <t>horas</t>
  </si>
  <si>
    <t>MW</t>
  </si>
  <si>
    <t>CÁLCULO DE LA ENERGÍA Y POTENCIA GARANTIZADA</t>
  </si>
  <si>
    <t># Dias</t>
  </si>
  <si>
    <t>Q natural</t>
  </si>
  <si>
    <t>Energía</t>
  </si>
  <si>
    <t>V natural</t>
  </si>
  <si>
    <t>LAGUNA
Equivalente</t>
  </si>
  <si>
    <t>Evapor.</t>
  </si>
  <si>
    <t xml:space="preserve">Potencia Efectiva : </t>
  </si>
  <si>
    <t xml:space="preserve">% exc. Afluentes : </t>
  </si>
  <si>
    <t xml:space="preserve">% exc. Lagunas : </t>
  </si>
  <si>
    <t xml:space="preserve">Dias jun-nov : </t>
  </si>
  <si>
    <t>Operación
Óptima</t>
  </si>
  <si>
    <t>V final</t>
  </si>
  <si>
    <t>Q turbinado</t>
  </si>
  <si>
    <t>ENERGÍA GARANTIZADA</t>
  </si>
  <si>
    <t>V pasada</t>
  </si>
  <si>
    <t>Por el rio</t>
  </si>
  <si>
    <t>EG</t>
  </si>
  <si>
    <t>Pef</t>
  </si>
  <si>
    <t>PGCP</t>
  </si>
  <si>
    <t>PG</t>
  </si>
  <si>
    <r>
      <t xml:space="preserve">V pas </t>
    </r>
    <r>
      <rPr>
        <sz val="7"/>
        <rFont val="Arial Narrow"/>
        <family val="2"/>
      </rPr>
      <t>(6meses)</t>
    </r>
  </si>
  <si>
    <t>Rebose</t>
  </si>
  <si>
    <t>Trayect. Lago</t>
  </si>
  <si>
    <t>V inicial</t>
  </si>
  <si>
    <t xml:space="preserve">Vol. Máximo : </t>
  </si>
  <si>
    <t xml:space="preserve">Vol. Inicial : </t>
  </si>
  <si>
    <t xml:space="preserve">Vol. Final : </t>
  </si>
  <si>
    <t>VD</t>
  </si>
  <si>
    <t>EGRH</t>
  </si>
  <si>
    <t>EGRE</t>
  </si>
  <si>
    <t>EGR</t>
  </si>
  <si>
    <t>PGR</t>
  </si>
  <si>
    <t>Caudal
Intermedio</t>
  </si>
  <si>
    <t>Disponibilidades (por Mantto.Prog.)</t>
  </si>
  <si>
    <t>Reservorio Estacional</t>
  </si>
  <si>
    <t xml:space="preserve">Horas de Reg. : </t>
  </si>
  <si>
    <t xml:space="preserve">Q nominal : </t>
  </si>
  <si>
    <r>
      <t xml:space="preserve">· </t>
    </r>
    <r>
      <rPr>
        <b/>
        <sz val="9"/>
        <rFont val="Times New Roman"/>
        <family val="1"/>
      </rPr>
      <t>CÁLCULO DE LA ENERGÍA GARANTIZADA :</t>
    </r>
  </si>
  <si>
    <r>
      <t xml:space="preserve">· </t>
    </r>
    <r>
      <rPr>
        <b/>
        <sz val="9"/>
        <rFont val="Times New Roman"/>
        <family val="1"/>
      </rPr>
      <t>RESUMEN DE LAS ENERGÍAS GARANTIZADAS :</t>
    </r>
  </si>
  <si>
    <t>Porcentaje de Mantenimiento</t>
  </si>
  <si>
    <t>Caudal Natural</t>
  </si>
  <si>
    <t>Caudales Medios Mensuales Históricos Naturalizados (m3/s)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</si>
  <si>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</si>
  <si>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</si>
  <si>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</si>
  <si>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</si>
  <si>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</si>
  <si>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</si>
  <si>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</si>
  <si>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</si>
  <si>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</si>
  <si>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</si>
  <si>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</si>
  <si>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</si>
  <si>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</si>
  <si>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Prob (%)</t>
  </si>
  <si>
    <t>Promedio</t>
  </si>
  <si>
    <t>Disponibles en la Bocatoma C.H. Carhuaquero</t>
  </si>
  <si>
    <t>%</t>
  </si>
  <si>
    <t>Gwh</t>
  </si>
  <si>
    <t xml:space="preserve">EGRH </t>
  </si>
  <si>
    <t>R*Vfhr</t>
  </si>
  <si>
    <t>Pefec*HR*N</t>
  </si>
  <si>
    <t>EGCPhr</t>
  </si>
  <si>
    <t>R*Vres*N</t>
  </si>
  <si>
    <t xml:space="preserve">Vr. h : </t>
  </si>
  <si>
    <t>CH CARHUAQUEROIV</t>
  </si>
  <si>
    <t>Average water flows</t>
  </si>
</sst>
</file>

<file path=xl/styles.xml><?xml version="1.0" encoding="utf-8"?>
<styleSheet xmlns="http://schemas.openxmlformats.org/spreadsheetml/2006/main">
  <numFmts count="3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-&quot;S/&quot;* #,##0_-;\-&quot;S/&quot;* #,##0_-;_-&quot;S/&quot;* &quot;-&quot;_-;_-@_-"/>
    <numFmt numFmtId="165" formatCode="_-* #,##0_-;\-* #,##0_-;_-* &quot;-&quot;_-;_-@_-"/>
    <numFmt numFmtId="166" formatCode="_-&quot;S/&quot;* #,##0.00_-;\-&quot;S/&quot;* #,##0.00_-;_-&quot;S/&quot;* &quot;-&quot;??_-;_-@_-"/>
    <numFmt numFmtId="167" formatCode="_-* #,##0.00_-;\-* #,##0.00_-;_-* &quot;-&quot;??_-;_-@_-"/>
    <numFmt numFmtId="168" formatCode="0.000"/>
    <numFmt numFmtId="169" formatCode="0.0"/>
    <numFmt numFmtId="170" formatCode="0.0000"/>
    <numFmt numFmtId="171" formatCode="0.0%"/>
    <numFmt numFmtId="172" formatCode="0.00000"/>
    <numFmt numFmtId="173" formatCode="_ @"/>
    <numFmt numFmtId="174" formatCode="#,##0.0000"/>
    <numFmt numFmtId="175" formatCode="_-* #,##0.00\ _D_M_-;\-* #,##0.00\ _D_M_-;_-* &quot;-&quot;??\ _D_M_-;_-@_-"/>
    <numFmt numFmtId="176" formatCode="_-* #,##0\ _D_M_-;\-* #,##0\ _D_M_-;_-* &quot;-&quot;??\ _D_M_-;_-@_-"/>
    <numFmt numFmtId="177" formatCode="0_)"/>
    <numFmt numFmtId="178" formatCode="[$-280A]hh:mm:ss\ AM/PM"/>
    <numFmt numFmtId="179" formatCode="0.00_)"/>
    <numFmt numFmtId="180" formatCode="#,##0.000"/>
    <numFmt numFmtId="181" formatCode="#,##0.0"/>
    <numFmt numFmtId="182" formatCode="0.00000000000"/>
    <numFmt numFmtId="183" formatCode="0.0000000000"/>
    <numFmt numFmtId="184" formatCode="0.000000000"/>
    <numFmt numFmtId="185" formatCode="0.00000000"/>
    <numFmt numFmtId="186" formatCode="0.000000000000"/>
    <numFmt numFmtId="187" formatCode="0.0000000"/>
    <numFmt numFmtId="188" formatCode="0.000000"/>
  </numFmts>
  <fonts count="21">
    <font>
      <sz val="12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color indexed="22"/>
      <name val="Arial Narrow"/>
      <family val="2"/>
    </font>
    <font>
      <sz val="7"/>
      <name val="Arial Narrow"/>
      <family val="2"/>
    </font>
    <font>
      <u val="single"/>
      <sz val="9"/>
      <name val="Arial Narrow"/>
      <family val="2"/>
    </font>
    <font>
      <sz val="9"/>
      <color indexed="12"/>
      <name val="Arial Narrow"/>
      <family val="2"/>
    </font>
    <font>
      <sz val="8"/>
      <name val="Times New Roman"/>
      <family val="0"/>
    </font>
    <font>
      <b/>
      <sz val="9"/>
      <name val="Times New Roman"/>
      <family val="1"/>
    </font>
    <font>
      <b/>
      <sz val="10"/>
      <name val="Arial"/>
      <family val="2"/>
    </font>
    <font>
      <b/>
      <sz val="12"/>
      <color indexed="10"/>
      <name val="Arial Narrow"/>
      <family val="2"/>
    </font>
    <font>
      <b/>
      <sz val="10"/>
      <name val="MS Sans Serif"/>
      <family val="0"/>
    </font>
    <font>
      <b/>
      <sz val="12"/>
      <name val="Arial"/>
      <family val="2"/>
    </font>
    <font>
      <b/>
      <sz val="12"/>
      <name val="Arial Narrow"/>
      <family val="2"/>
    </font>
    <font>
      <sz val="9"/>
      <name val="Symbol"/>
      <family val="1"/>
    </font>
    <font>
      <b/>
      <sz val="18"/>
      <color indexed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9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1" fontId="4" fillId="0" borderId="0" xfId="0" applyNumberFormat="1" applyFont="1" applyFill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2" fontId="4" fillId="0" borderId="3" xfId="0" applyNumberFormat="1" applyFont="1" applyFill="1" applyBorder="1" applyAlignment="1" applyProtection="1">
      <alignment horizontal="right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2" fontId="4" fillId="0" borderId="1" xfId="0" applyNumberFormat="1" applyFont="1" applyFill="1" applyBorder="1" applyAlignment="1" applyProtection="1">
      <alignment horizontal="right" vertical="center"/>
      <protection/>
    </xf>
    <xf numFmtId="2" fontId="4" fillId="0" borderId="5" xfId="0" applyNumberFormat="1" applyFont="1" applyFill="1" applyBorder="1" applyAlignment="1" applyProtection="1">
      <alignment horizontal="center" vertical="center"/>
      <protection/>
    </xf>
    <xf numFmtId="2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7" xfId="0" applyFont="1" applyBorder="1" applyAlignment="1" applyProtection="1">
      <alignment vertical="center"/>
      <protection/>
    </xf>
    <xf numFmtId="0" fontId="4" fillId="0" borderId="8" xfId="0" applyFont="1" applyBorder="1" applyAlignment="1" applyProtection="1">
      <alignment vertical="center"/>
      <protection/>
    </xf>
    <xf numFmtId="169" fontId="4" fillId="0" borderId="6" xfId="0" applyNumberFormat="1" applyFont="1" applyFill="1" applyBorder="1" applyAlignment="1" applyProtection="1">
      <alignment horizontal="right" vertical="center"/>
      <protection/>
    </xf>
    <xf numFmtId="169" fontId="4" fillId="0" borderId="9" xfId="0" applyNumberFormat="1" applyFont="1" applyFill="1" applyBorder="1" applyAlignment="1" applyProtection="1">
      <alignment horizontal="right" vertical="center"/>
      <protection/>
    </xf>
    <xf numFmtId="169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8" xfId="0" applyFont="1" applyFill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2" fontId="4" fillId="0" borderId="12" xfId="0" applyNumberFormat="1" applyFont="1" applyFill="1" applyBorder="1" applyAlignment="1" applyProtection="1">
      <alignment horizontal="right" vertical="center"/>
      <protection/>
    </xf>
    <xf numFmtId="2" fontId="4" fillId="0" borderId="4" xfId="0" applyNumberFormat="1" applyFont="1" applyFill="1" applyBorder="1" applyAlignment="1" applyProtection="1">
      <alignment horizontal="right" vertical="center"/>
      <protection/>
    </xf>
    <xf numFmtId="2" fontId="8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 applyProtection="1">
      <alignment horizontal="right" vertical="center"/>
      <protection/>
    </xf>
    <xf numFmtId="0" fontId="4" fillId="0" borderId="4" xfId="0" applyFont="1" applyFill="1" applyBorder="1" applyAlignment="1" applyProtection="1">
      <alignment horizontal="right" vertical="center"/>
      <protection/>
    </xf>
    <xf numFmtId="0" fontId="4" fillId="0" borderId="1" xfId="0" applyFont="1" applyFill="1" applyBorder="1" applyAlignment="1" applyProtection="1">
      <alignment horizontal="right" vertical="center"/>
      <protection/>
    </xf>
    <xf numFmtId="0" fontId="4" fillId="0" borderId="7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6" xfId="0" applyFont="1" applyFill="1" applyBorder="1" applyAlignment="1" applyProtection="1">
      <alignment vertical="center"/>
      <protection/>
    </xf>
    <xf numFmtId="2" fontId="4" fillId="0" borderId="6" xfId="0" applyNumberFormat="1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169" fontId="4" fillId="0" borderId="0" xfId="0" applyNumberFormat="1" applyFont="1" applyAlignment="1" applyProtection="1">
      <alignment horizontal="center" vertical="center"/>
      <protection/>
    </xf>
    <xf numFmtId="169" fontId="4" fillId="0" borderId="14" xfId="0" applyNumberFormat="1" applyFont="1" applyBorder="1" applyAlignment="1" applyProtection="1">
      <alignment vertical="center"/>
      <protection/>
    </xf>
    <xf numFmtId="169" fontId="4" fillId="0" borderId="8" xfId="0" applyNumberFormat="1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169" fontId="4" fillId="0" borderId="16" xfId="0" applyNumberFormat="1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2" fontId="4" fillId="0" borderId="17" xfId="0" applyNumberFormat="1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2" borderId="6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169" fontId="4" fillId="0" borderId="18" xfId="0" applyNumberFormat="1" applyFont="1" applyFill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vertical="center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2" fontId="4" fillId="0" borderId="20" xfId="0" applyNumberFormat="1" applyFont="1" applyFill="1" applyBorder="1" applyAlignment="1" applyProtection="1">
      <alignment horizontal="center" vertical="center"/>
      <protection/>
    </xf>
    <xf numFmtId="2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2" borderId="21" xfId="0" applyFont="1" applyFill="1" applyBorder="1" applyAlignment="1" applyProtection="1">
      <alignment horizontal="center" vertical="center"/>
      <protection/>
    </xf>
    <xf numFmtId="2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vertical="center"/>
      <protection/>
    </xf>
    <xf numFmtId="2" fontId="4" fillId="3" borderId="20" xfId="0" applyNumberFormat="1" applyFont="1" applyFill="1" applyBorder="1" applyAlignment="1" applyProtection="1">
      <alignment horizontal="center" vertical="center"/>
      <protection/>
    </xf>
    <xf numFmtId="168" fontId="11" fillId="0" borderId="23" xfId="0" applyNumberFormat="1" applyFont="1" applyFill="1" applyBorder="1" applyAlignment="1" applyProtection="1">
      <alignment horizontal="right" vertical="center"/>
      <protection/>
    </xf>
    <xf numFmtId="168" fontId="11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horizontal="right"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26" xfId="0" applyFont="1" applyFill="1" applyBorder="1" applyAlignment="1" applyProtection="1">
      <alignment vertical="center"/>
      <protection/>
    </xf>
    <xf numFmtId="0" fontId="4" fillId="0" borderId="27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left" vertical="center" indent="1"/>
      <protection/>
    </xf>
    <xf numFmtId="9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2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4" fillId="0" borderId="9" xfId="0" applyFont="1" applyFill="1" applyBorder="1" applyAlignment="1" applyProtection="1">
      <alignment vertical="center"/>
      <protection/>
    </xf>
    <xf numFmtId="9" fontId="4" fillId="0" borderId="26" xfId="0" applyNumberFormat="1" applyFont="1" applyFill="1" applyBorder="1" applyAlignment="1" applyProtection="1">
      <alignment horizontal="left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6" xfId="0" applyFont="1" applyFill="1" applyBorder="1" applyAlignment="1" applyProtection="1">
      <alignment horizontal="center" vertical="center"/>
      <protection/>
    </xf>
    <xf numFmtId="9" fontId="4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 hidden="1"/>
    </xf>
    <xf numFmtId="168" fontId="4" fillId="0" borderId="0" xfId="0" applyNumberFormat="1" applyFont="1" applyAlignment="1" applyProtection="1">
      <alignment vertical="center"/>
      <protection/>
    </xf>
    <xf numFmtId="2" fontId="4" fillId="4" borderId="23" xfId="0" applyNumberFormat="1" applyFont="1" applyFill="1" applyBorder="1" applyAlignment="1" applyProtection="1">
      <alignment horizontal="right" vertical="center"/>
      <protection/>
    </xf>
    <xf numFmtId="2" fontId="6" fillId="0" borderId="25" xfId="0" applyNumberFormat="1" applyFont="1" applyFill="1" applyBorder="1" applyAlignment="1" applyProtection="1">
      <alignment horizontal="center" vertical="center"/>
      <protection/>
    </xf>
    <xf numFmtId="174" fontId="4" fillId="0" borderId="25" xfId="0" applyNumberFormat="1" applyFont="1" applyFill="1" applyBorder="1" applyAlignment="1" applyProtection="1">
      <alignment horizontal="center" vertical="center"/>
      <protection/>
    </xf>
    <xf numFmtId="10" fontId="4" fillId="0" borderId="0" xfId="19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68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Continuous"/>
    </xf>
    <xf numFmtId="0" fontId="16" fillId="0" borderId="0" xfId="0" applyFont="1" applyAlignment="1" quotePrefix="1">
      <alignment horizontal="centerContinuous"/>
    </xf>
    <xf numFmtId="0" fontId="0" fillId="0" borderId="0" xfId="0" applyBorder="1" applyAlignment="1">
      <alignment/>
    </xf>
    <xf numFmtId="4" fontId="0" fillId="0" borderId="0" xfId="15" applyNumberFormat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 applyProtection="1">
      <alignment/>
      <protection/>
    </xf>
    <xf numFmtId="169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15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0" fontId="17" fillId="0" borderId="0" xfId="0" applyFont="1" applyAlignment="1">
      <alignment/>
    </xf>
    <xf numFmtId="168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0" fontId="17" fillId="0" borderId="0" xfId="0" applyFont="1" applyBorder="1" applyAlignment="1">
      <alignment/>
    </xf>
    <xf numFmtId="9" fontId="0" fillId="0" borderId="0" xfId="19" applyBorder="1" applyAlignment="1">
      <alignment/>
    </xf>
    <xf numFmtId="2" fontId="4" fillId="0" borderId="18" xfId="0" applyNumberFormat="1" applyFont="1" applyFill="1" applyBorder="1" applyAlignment="1" applyProtection="1">
      <alignment horizontal="right" vertical="center"/>
      <protection/>
    </xf>
    <xf numFmtId="169" fontId="4" fillId="0" borderId="30" xfId="0" applyNumberFormat="1" applyFont="1" applyFill="1" applyBorder="1" applyAlignment="1" applyProtection="1">
      <alignment horizontal="right" vertical="center"/>
      <protection/>
    </xf>
    <xf numFmtId="169" fontId="4" fillId="0" borderId="31" xfId="0" applyNumberFormat="1" applyFont="1" applyFill="1" applyBorder="1" applyAlignment="1" applyProtection="1">
      <alignment horizontal="right" vertical="center"/>
      <protection/>
    </xf>
    <xf numFmtId="2" fontId="4" fillId="0" borderId="31" xfId="0" applyNumberFormat="1" applyFont="1" applyFill="1" applyBorder="1" applyAlignment="1" applyProtection="1">
      <alignment horizontal="right" vertical="center"/>
      <protection/>
    </xf>
    <xf numFmtId="0" fontId="4" fillId="0" borderId="32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right" vertical="center"/>
      <protection/>
    </xf>
    <xf numFmtId="0" fontId="4" fillId="0" borderId="16" xfId="0" applyFont="1" applyFill="1" applyBorder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horizontal="right" vertical="center"/>
      <protection/>
    </xf>
    <xf numFmtId="10" fontId="4" fillId="0" borderId="33" xfId="19" applyNumberFormat="1" applyFont="1" applyBorder="1" applyAlignment="1" applyProtection="1">
      <alignment horizontal="center" vertical="center"/>
      <protection/>
    </xf>
    <xf numFmtId="10" fontId="4" fillId="0" borderId="34" xfId="19" applyNumberFormat="1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left" vertical="center"/>
      <protection/>
    </xf>
    <xf numFmtId="0" fontId="4" fillId="4" borderId="34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171" fontId="4" fillId="0" borderId="6" xfId="0" applyNumberFormat="1" applyFont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4" fontId="4" fillId="4" borderId="33" xfId="0" applyNumberFormat="1" applyFont="1" applyFill="1" applyBorder="1" applyAlignment="1" applyProtection="1">
      <alignment vertical="center"/>
      <protection/>
    </xf>
    <xf numFmtId="4" fontId="0" fillId="0" borderId="25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39" xfId="0" applyBorder="1" applyAlignment="1">
      <alignment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quotePrefix="1">
      <alignment horizontal="center"/>
    </xf>
    <xf numFmtId="0" fontId="0" fillId="0" borderId="9" xfId="0" applyBorder="1" applyAlignment="1">
      <alignment/>
    </xf>
    <xf numFmtId="0" fontId="0" fillId="0" borderId="29" xfId="0" applyBorder="1" applyAlignment="1">
      <alignment/>
    </xf>
    <xf numFmtId="40" fontId="0" fillId="0" borderId="25" xfId="0" applyNumberFormat="1" applyBorder="1" applyAlignment="1">
      <alignment/>
    </xf>
    <xf numFmtId="40" fontId="0" fillId="0" borderId="10" xfId="0" applyNumberFormat="1" applyBorder="1" applyAlignment="1">
      <alignment/>
    </xf>
    <xf numFmtId="4" fontId="0" fillId="0" borderId="0" xfId="15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 quotePrefix="1">
      <alignment horizontal="center"/>
    </xf>
    <xf numFmtId="0" fontId="0" fillId="0" borderId="39" xfId="0" applyBorder="1" applyAlignment="1">
      <alignment horizontal="center"/>
    </xf>
    <xf numFmtId="0" fontId="0" fillId="0" borderId="23" xfId="0" applyBorder="1" applyAlignment="1">
      <alignment horizontal="center"/>
    </xf>
    <xf numFmtId="177" fontId="0" fillId="0" borderId="40" xfId="0" applyNumberFormat="1" applyBorder="1" applyAlignment="1" applyProtection="1">
      <alignment horizontal="center"/>
      <protection/>
    </xf>
    <xf numFmtId="0" fontId="0" fillId="0" borderId="40" xfId="0" applyBorder="1" applyAlignment="1">
      <alignment horizontal="center"/>
    </xf>
    <xf numFmtId="10" fontId="0" fillId="0" borderId="28" xfId="19" applyNumberFormat="1" applyBorder="1" applyAlignment="1">
      <alignment/>
    </xf>
    <xf numFmtId="1" fontId="0" fillId="0" borderId="27" xfId="0" applyNumberFormat="1" applyFill="1" applyBorder="1" applyAlignment="1">
      <alignment/>
    </xf>
    <xf numFmtId="4" fontId="0" fillId="0" borderId="10" xfId="0" applyNumberFormat="1" applyBorder="1" applyAlignment="1" quotePrefix="1">
      <alignment horizontal="center"/>
    </xf>
    <xf numFmtId="4" fontId="0" fillId="0" borderId="27" xfId="15" applyNumberFormat="1" applyBorder="1" applyAlignment="1">
      <alignment horizontal="center"/>
    </xf>
    <xf numFmtId="4" fontId="0" fillId="0" borderId="28" xfId="15" applyNumberFormat="1" applyBorder="1" applyAlignment="1">
      <alignment horizontal="center"/>
    </xf>
    <xf numFmtId="171" fontId="0" fillId="2" borderId="40" xfId="0" applyNumberFormat="1" applyFill="1" applyBorder="1" applyAlignment="1">
      <alignment/>
    </xf>
    <xf numFmtId="0" fontId="4" fillId="2" borderId="5" xfId="0" applyFont="1" applyFill="1" applyBorder="1" applyAlignment="1" applyProtection="1">
      <alignment horizontal="center" vertical="center"/>
      <protection/>
    </xf>
    <xf numFmtId="0" fontId="4" fillId="2" borderId="31" xfId="0" applyFont="1" applyFill="1" applyBorder="1" applyAlignment="1" applyProtection="1">
      <alignment horizontal="center" vertical="center"/>
      <protection/>
    </xf>
    <xf numFmtId="0" fontId="4" fillId="2" borderId="41" xfId="0" applyFont="1" applyFill="1" applyBorder="1" applyAlignment="1" applyProtection="1">
      <alignment horizontal="center" vertical="center"/>
      <protection/>
    </xf>
    <xf numFmtId="2" fontId="4" fillId="0" borderId="42" xfId="0" applyNumberFormat="1" applyFont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horizontal="center" vertical="center"/>
      <protection/>
    </xf>
    <xf numFmtId="0" fontId="4" fillId="2" borderId="43" xfId="0" applyFont="1" applyFill="1" applyBorder="1" applyAlignment="1" applyProtection="1">
      <alignment horizontal="center" vertical="center"/>
      <protection/>
    </xf>
    <xf numFmtId="0" fontId="4" fillId="2" borderId="44" xfId="0" applyFont="1" applyFill="1" applyBorder="1" applyAlignment="1" applyProtection="1">
      <alignment horizontal="center" vertical="center"/>
      <protection/>
    </xf>
    <xf numFmtId="2" fontId="4" fillId="0" borderId="45" xfId="0" applyNumberFormat="1" applyFont="1" applyFill="1" applyBorder="1" applyAlignment="1" applyProtection="1">
      <alignment horizontal="center" vertical="center"/>
      <protection/>
    </xf>
    <xf numFmtId="169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2" borderId="31" xfId="0" applyFont="1" applyFill="1" applyBorder="1" applyAlignment="1" applyProtection="1">
      <alignment vertical="center"/>
      <protection/>
    </xf>
    <xf numFmtId="0" fontId="4" fillId="2" borderId="46" xfId="0" applyFont="1" applyFill="1" applyBorder="1" applyAlignment="1" applyProtection="1">
      <alignment vertical="center"/>
      <protection/>
    </xf>
    <xf numFmtId="0" fontId="4" fillId="2" borderId="47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8" fontId="4" fillId="0" borderId="48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2" borderId="10" xfId="0" applyFont="1" applyFill="1" applyBorder="1" applyAlignment="1" applyProtection="1">
      <alignment horizontal="center" vertical="center"/>
      <protection/>
    </xf>
    <xf numFmtId="2" fontId="0" fillId="0" borderId="0" xfId="0" applyNumberFormat="1" applyBorder="1" applyAlignment="1" applyProtection="1">
      <alignment/>
      <protection/>
    </xf>
    <xf numFmtId="2" fontId="0" fillId="0" borderId="0" xfId="0" applyNumberFormat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4" fontId="0" fillId="0" borderId="4" xfId="15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171" fontId="0" fillId="2" borderId="12" xfId="19" applyNumberFormat="1" applyFill="1" applyBorder="1" applyAlignment="1">
      <alignment/>
    </xf>
    <xf numFmtId="2" fontId="4" fillId="0" borderId="0" xfId="0" applyNumberFormat="1" applyFont="1" applyAlignment="1" applyProtection="1">
      <alignment vertical="center"/>
      <protection/>
    </xf>
    <xf numFmtId="0" fontId="19" fillId="0" borderId="25" xfId="0" applyFont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14" fillId="0" borderId="50" xfId="0" applyFont="1" applyBorder="1" applyAlignment="1" applyProtection="1">
      <alignment horizontal="center" vertical="center"/>
      <protection hidden="1"/>
    </xf>
    <xf numFmtId="0" fontId="14" fillId="0" borderId="51" xfId="0" applyFont="1" applyBorder="1" applyAlignment="1" applyProtection="1">
      <alignment horizontal="center" vertical="center"/>
      <protection hidden="1"/>
    </xf>
    <xf numFmtId="167" fontId="0" fillId="0" borderId="0" xfId="15" applyBorder="1" applyAlignment="1" applyProtection="1">
      <alignment/>
      <protection/>
    </xf>
    <xf numFmtId="167" fontId="0" fillId="0" borderId="0" xfId="15" applyBorder="1" applyAlignment="1">
      <alignment/>
    </xf>
    <xf numFmtId="167" fontId="0" fillId="0" borderId="0" xfId="15" applyFill="1" applyBorder="1" applyAlignment="1">
      <alignment/>
    </xf>
    <xf numFmtId="167" fontId="0" fillId="0" borderId="0" xfId="15" applyBorder="1" applyAlignment="1">
      <alignment horizontal="right"/>
    </xf>
    <xf numFmtId="2" fontId="4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5" fillId="0" borderId="53" xfId="0" applyFont="1" applyFill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horizontal="center" vertical="center"/>
      <protection/>
    </xf>
    <xf numFmtId="168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8" fontId="7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5" fillId="0" borderId="45" xfId="0" applyFont="1" applyBorder="1" applyAlignment="1" applyProtection="1">
      <alignment horizontal="center" vertical="center" wrapText="1"/>
      <protection/>
    </xf>
    <xf numFmtId="0" fontId="4" fillId="0" borderId="55" xfId="0" applyFont="1" applyBorder="1" applyAlignment="1" applyProtection="1">
      <alignment horizontal="center" vertical="center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2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2" borderId="57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4" fillId="2" borderId="36" xfId="0" applyFont="1" applyFill="1" applyBorder="1" applyAlignment="1" applyProtection="1">
      <alignment horizontal="center" vertical="center"/>
      <protection/>
    </xf>
    <xf numFmtId="0" fontId="4" fillId="2" borderId="30" xfId="0" applyFont="1" applyFill="1" applyBorder="1" applyAlignment="1" applyProtection="1">
      <alignment horizontal="center" vertical="center"/>
      <protection/>
    </xf>
    <xf numFmtId="0" fontId="4" fillId="2" borderId="9" xfId="0" applyFont="1" applyFill="1" applyBorder="1" applyAlignment="1" applyProtection="1">
      <alignment horizontal="center" vertical="center"/>
      <protection/>
    </xf>
    <xf numFmtId="0" fontId="4" fillId="2" borderId="41" xfId="0" applyFont="1" applyFill="1" applyBorder="1" applyAlignment="1" applyProtection="1">
      <alignment horizontal="center" vertical="center"/>
      <protection/>
    </xf>
    <xf numFmtId="0" fontId="4" fillId="2" borderId="31" xfId="0" applyFont="1" applyFill="1" applyBorder="1" applyAlignment="1" applyProtection="1">
      <alignment horizontal="center" vertical="center"/>
      <protection/>
    </xf>
    <xf numFmtId="0" fontId="4" fillId="2" borderId="32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AEAE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142875</xdr:rowOff>
    </xdr:from>
    <xdr:to>
      <xdr:col>2</xdr:col>
      <xdr:colOff>857250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944" t="23529" r="26519" b="38235"/>
        <a:stretch>
          <a:fillRect/>
        </a:stretch>
      </xdr:blipFill>
      <xdr:spPr>
        <a:xfrm>
          <a:off x="171450" y="142875"/>
          <a:ext cx="1562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S65"/>
  <sheetViews>
    <sheetView showGridLines="0" tabSelected="1" view="pageBreakPreview" zoomScaleNormal="70" zoomScaleSheetLayoutView="100" workbookViewId="0" topLeftCell="A39">
      <selection activeCell="C63" sqref="C63"/>
    </sheetView>
  </sheetViews>
  <sheetFormatPr defaultColWidth="11.00390625" defaultRowHeight="15.75" zeroHeight="1"/>
  <cols>
    <col min="1" max="1" width="0.74609375" style="1" customWidth="1"/>
    <col min="2" max="2" width="10.75390625" style="1" customWidth="1"/>
    <col min="3" max="3" width="16.75390625" style="1" bestFit="1" customWidth="1"/>
    <col min="4" max="4" width="6.25390625" style="1" customWidth="1"/>
    <col min="5" max="5" width="6.75390625" style="1" customWidth="1"/>
    <col min="6" max="7" width="5.625" style="1" customWidth="1"/>
    <col min="8" max="8" width="7.50390625" style="1" bestFit="1" customWidth="1"/>
    <col min="9" max="9" width="5.625" style="1" customWidth="1"/>
    <col min="10" max="10" width="8.875" style="1" bestFit="1" customWidth="1"/>
    <col min="11" max="11" width="5.625" style="1" customWidth="1"/>
    <col min="12" max="12" width="6.50390625" style="1" customWidth="1"/>
    <col min="13" max="13" width="7.50390625" style="1" customWidth="1"/>
    <col min="14" max="14" width="6.875" style="1" customWidth="1"/>
    <col min="15" max="15" width="5.375" style="1" customWidth="1"/>
    <col min="16" max="16" width="5.625" style="1" customWidth="1"/>
    <col min="17" max="17" width="7.00390625" style="1" customWidth="1"/>
    <col min="18" max="18" width="0.74609375" style="1" customWidth="1"/>
    <col min="19" max="20" width="11.00390625" style="1" customWidth="1"/>
    <col min="21" max="16384" width="0" style="1" hidden="1" customWidth="1"/>
  </cols>
  <sheetData>
    <row r="1" ht="13.5"/>
    <row r="2" ht="13.5"/>
    <row r="3" ht="13.5"/>
    <row r="4" ht="13.5"/>
    <row r="5" ht="13.5"/>
    <row r="6" spans="2:17" ht="15.75">
      <c r="B6" s="227" t="s">
        <v>87</v>
      </c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</row>
    <row r="7" spans="2:17" ht="15.75">
      <c r="B7" s="228" t="s">
        <v>20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</row>
    <row r="8" spans="3:12" ht="15" customHeight="1">
      <c r="C8" s="3"/>
      <c r="D8" s="3"/>
      <c r="L8" s="204"/>
    </row>
    <row r="9" spans="3:16" ht="15" customHeight="1">
      <c r="C9" s="63"/>
      <c r="D9" s="64" t="s">
        <v>27</v>
      </c>
      <c r="E9" s="89">
        <v>9.75</v>
      </c>
      <c r="F9" s="65" t="s">
        <v>19</v>
      </c>
      <c r="G9" s="66"/>
      <c r="H9" s="31"/>
      <c r="I9" s="31"/>
      <c r="J9" s="63"/>
      <c r="K9" s="64" t="s">
        <v>86</v>
      </c>
      <c r="L9" s="90">
        <f>0.35275</f>
        <v>0.35275</v>
      </c>
      <c r="M9" s="65" t="s">
        <v>16</v>
      </c>
      <c r="N9" s="203"/>
      <c r="O9" s="67"/>
      <c r="P9" s="2"/>
    </row>
    <row r="10" spans="3:16" ht="15" customHeight="1">
      <c r="C10" s="67"/>
      <c r="D10" s="68" t="s">
        <v>17</v>
      </c>
      <c r="E10" s="69">
        <f>+E9/M14</f>
        <v>3.9</v>
      </c>
      <c r="F10" s="2" t="s">
        <v>1</v>
      </c>
      <c r="G10" s="70"/>
      <c r="H10" s="31"/>
      <c r="I10" s="31"/>
      <c r="J10" s="67"/>
      <c r="K10" s="2"/>
      <c r="L10" s="68" t="s">
        <v>56</v>
      </c>
      <c r="M10" s="71">
        <v>7</v>
      </c>
      <c r="N10" s="2" t="s">
        <v>18</v>
      </c>
      <c r="O10" s="67"/>
      <c r="P10" s="2"/>
    </row>
    <row r="11" spans="3:16" ht="15" customHeight="1">
      <c r="C11" s="72" t="s">
        <v>55</v>
      </c>
      <c r="D11" s="2"/>
      <c r="E11" s="2"/>
      <c r="F11" s="2"/>
      <c r="G11" s="70"/>
      <c r="H11" s="31"/>
      <c r="I11" s="31"/>
      <c r="J11" s="67"/>
      <c r="K11" s="2"/>
      <c r="L11" s="68" t="s">
        <v>29</v>
      </c>
      <c r="M11" s="73">
        <v>0.95</v>
      </c>
      <c r="N11" s="2"/>
      <c r="O11" s="67"/>
      <c r="P11" s="2"/>
    </row>
    <row r="12" spans="3:16" ht="15" customHeight="1">
      <c r="C12" s="74"/>
      <c r="D12" s="68" t="s">
        <v>46</v>
      </c>
      <c r="E12" s="75">
        <v>0</v>
      </c>
      <c r="F12" s="2" t="s">
        <v>16</v>
      </c>
      <c r="G12" s="70"/>
      <c r="H12" s="31"/>
      <c r="I12" s="31"/>
      <c r="J12" s="67"/>
      <c r="K12" s="2"/>
      <c r="L12" s="68" t="s">
        <v>28</v>
      </c>
      <c r="M12" s="73">
        <v>0.95</v>
      </c>
      <c r="N12" s="2"/>
      <c r="O12" s="67"/>
      <c r="P12" s="2"/>
    </row>
    <row r="13" spans="3:16" ht="15" customHeight="1">
      <c r="C13" s="67"/>
      <c r="D13" s="68" t="s">
        <v>47</v>
      </c>
      <c r="E13" s="75">
        <v>0</v>
      </c>
      <c r="F13" s="2" t="s">
        <v>16</v>
      </c>
      <c r="G13" s="70"/>
      <c r="H13" s="31"/>
      <c r="I13" s="31"/>
      <c r="J13" s="67"/>
      <c r="K13" s="2"/>
      <c r="L13" s="68" t="s">
        <v>30</v>
      </c>
      <c r="M13" s="71">
        <f>SUM(J17:O17)</f>
        <v>183</v>
      </c>
      <c r="N13" s="2"/>
      <c r="O13" s="67"/>
      <c r="P13" s="2"/>
    </row>
    <row r="14" spans="3:16" ht="15" customHeight="1">
      <c r="C14" s="76"/>
      <c r="D14" s="77" t="s">
        <v>45</v>
      </c>
      <c r="E14" s="78">
        <v>0</v>
      </c>
      <c r="F14" s="79" t="s">
        <v>16</v>
      </c>
      <c r="G14" s="80"/>
      <c r="H14" s="31"/>
      <c r="I14" s="31"/>
      <c r="J14" s="81"/>
      <c r="K14" s="79"/>
      <c r="L14" s="77" t="s">
        <v>57</v>
      </c>
      <c r="M14" s="78">
        <v>2.5</v>
      </c>
      <c r="N14" s="79" t="s">
        <v>15</v>
      </c>
      <c r="O14" s="67"/>
      <c r="P14" s="2"/>
    </row>
    <row r="15" spans="3:16" ht="15" customHeight="1"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7" ht="15" customHeight="1">
      <c r="A16" s="4"/>
      <c r="B16"/>
      <c r="C16" s="63"/>
      <c r="D16" s="82"/>
      <c r="E16" s="83" t="s">
        <v>3</v>
      </c>
      <c r="F16" s="84" t="s">
        <v>4</v>
      </c>
      <c r="G16" s="84" t="s">
        <v>5</v>
      </c>
      <c r="H16" s="84" t="s">
        <v>6</v>
      </c>
      <c r="I16" s="84" t="s">
        <v>7</v>
      </c>
      <c r="J16" s="84" t="s">
        <v>8</v>
      </c>
      <c r="K16" s="84" t="s">
        <v>9</v>
      </c>
      <c r="L16" s="84" t="s">
        <v>10</v>
      </c>
      <c r="M16" s="84" t="s">
        <v>11</v>
      </c>
      <c r="N16" s="84" t="s">
        <v>12</v>
      </c>
      <c r="O16" s="84" t="s">
        <v>13</v>
      </c>
      <c r="P16" s="84" t="s">
        <v>14</v>
      </c>
      <c r="Q16"/>
    </row>
    <row r="17" spans="1:17" ht="15" customHeight="1">
      <c r="A17" s="4"/>
      <c r="B17"/>
      <c r="C17" s="81"/>
      <c r="D17" s="85" t="s">
        <v>21</v>
      </c>
      <c r="E17" s="83">
        <v>31</v>
      </c>
      <c r="F17" s="84">
        <v>28</v>
      </c>
      <c r="G17" s="84">
        <v>31</v>
      </c>
      <c r="H17" s="84">
        <v>30</v>
      </c>
      <c r="I17" s="84">
        <v>31</v>
      </c>
      <c r="J17" s="84">
        <v>30</v>
      </c>
      <c r="K17" s="84">
        <v>31</v>
      </c>
      <c r="L17" s="84">
        <v>31</v>
      </c>
      <c r="M17" s="84">
        <v>30</v>
      </c>
      <c r="N17" s="84">
        <v>31</v>
      </c>
      <c r="O17" s="84">
        <v>30</v>
      </c>
      <c r="P17" s="84">
        <v>31</v>
      </c>
      <c r="Q17"/>
    </row>
    <row r="18" spans="1:17" ht="15" customHeight="1">
      <c r="A18" s="4"/>
      <c r="B18" s="3"/>
      <c r="C18" s="3"/>
      <c r="D18" s="6"/>
      <c r="E18" s="7"/>
      <c r="F18" s="7"/>
      <c r="G18" s="7"/>
      <c r="H18" s="7"/>
      <c r="I18" s="7"/>
      <c r="J18" s="10"/>
      <c r="K18" s="10"/>
      <c r="L18" s="10"/>
      <c r="M18" s="10"/>
      <c r="N18" s="10"/>
      <c r="O18" s="10"/>
      <c r="Q18" s="10"/>
    </row>
    <row r="19" spans="1:2" ht="15" customHeight="1">
      <c r="A19" s="8"/>
      <c r="B19" s="86" t="s">
        <v>58</v>
      </c>
    </row>
    <row r="20" spans="1:2" ht="15" customHeight="1" thickBot="1">
      <c r="A20" s="8"/>
      <c r="B20" s="86"/>
    </row>
    <row r="21" spans="1:17" ht="15" customHeight="1" thickBot="1">
      <c r="A21" s="8"/>
      <c r="B21" s="207" t="s">
        <v>61</v>
      </c>
      <c r="C21" s="208"/>
      <c r="D21" s="137" t="s">
        <v>15</v>
      </c>
      <c r="E21" s="152">
        <f>+'Carhuaquero IV'!R55</f>
        <v>0</v>
      </c>
      <c r="F21" s="152">
        <f>+'Carhuaquero IV'!S55</f>
        <v>0</v>
      </c>
      <c r="G21" s="152">
        <f>+'Carhuaquero IV'!T55</f>
        <v>6.51</v>
      </c>
      <c r="H21" s="152">
        <f>+'Carhuaquero IV'!U55</f>
        <v>7.89</v>
      </c>
      <c r="I21" s="152">
        <f>+'Carhuaquero IV'!V55</f>
        <v>0</v>
      </c>
      <c r="J21" s="152">
        <f>+'Carhuaquero IV'!W55</f>
        <v>0</v>
      </c>
      <c r="K21" s="152">
        <f>+'Carhuaquero IV'!X55</f>
        <v>0</v>
      </c>
      <c r="L21" s="152">
        <f>+'Carhuaquero IV'!Y55</f>
        <v>0</v>
      </c>
      <c r="M21" s="152">
        <f>+'Carhuaquero IV'!Z55</f>
        <v>0</v>
      </c>
      <c r="N21" s="152">
        <f>+'Carhuaquero IV'!AA55</f>
        <v>0</v>
      </c>
      <c r="O21" s="152">
        <f>+'Carhuaquero IV'!AB55</f>
        <v>0</v>
      </c>
      <c r="P21" s="152">
        <f>+'Carhuaquero IV'!AC55</f>
        <v>0</v>
      </c>
      <c r="Q21" s="146">
        <f>+AVERAGE(E21:P21)</f>
        <v>1.2</v>
      </c>
    </row>
    <row r="22" spans="1:17" ht="7.5" customHeight="1" thickBot="1">
      <c r="A22" s="4"/>
      <c r="J22" s="10"/>
      <c r="K22" s="10"/>
      <c r="L22" s="10"/>
      <c r="M22" s="10"/>
      <c r="N22" s="10"/>
      <c r="O22" s="10"/>
      <c r="Q22" s="10"/>
    </row>
    <row r="23" spans="2:17" ht="15" customHeight="1">
      <c r="B23" s="229" t="s">
        <v>53</v>
      </c>
      <c r="C23" s="139" t="s">
        <v>36</v>
      </c>
      <c r="D23" s="11" t="s">
        <v>15</v>
      </c>
      <c r="E23" s="12">
        <f aca="true" t="shared" si="0" ref="E23:P23">+E21-E31</f>
        <v>0</v>
      </c>
      <c r="F23" s="12">
        <f t="shared" si="0"/>
        <v>0</v>
      </c>
      <c r="G23" s="12">
        <f t="shared" si="0"/>
        <v>6.51</v>
      </c>
      <c r="H23" s="12">
        <f t="shared" si="0"/>
        <v>7.89</v>
      </c>
      <c r="I23" s="12">
        <f t="shared" si="0"/>
        <v>0</v>
      </c>
      <c r="J23" s="12">
        <f t="shared" si="0"/>
        <v>0</v>
      </c>
      <c r="K23" s="12">
        <f t="shared" si="0"/>
        <v>0</v>
      </c>
      <c r="L23" s="12">
        <f t="shared" si="0"/>
        <v>0</v>
      </c>
      <c r="M23" s="12">
        <f t="shared" si="0"/>
        <v>0</v>
      </c>
      <c r="N23" s="12">
        <f t="shared" si="0"/>
        <v>0</v>
      </c>
      <c r="O23" s="12">
        <f t="shared" si="0"/>
        <v>0</v>
      </c>
      <c r="P23" s="12">
        <f t="shared" si="0"/>
        <v>0</v>
      </c>
      <c r="Q23" s="59"/>
    </row>
    <row r="24" spans="2:17" ht="15" customHeight="1">
      <c r="B24" s="225"/>
      <c r="C24" s="140" t="s">
        <v>33</v>
      </c>
      <c r="D24" s="5" t="s">
        <v>15</v>
      </c>
      <c r="E24" s="14">
        <f aca="true" t="shared" si="1" ref="E24:P24">+MIN(E23,$M$14)</f>
        <v>0</v>
      </c>
      <c r="F24" s="14">
        <f t="shared" si="1"/>
        <v>0</v>
      </c>
      <c r="G24" s="14">
        <f t="shared" si="1"/>
        <v>2.5</v>
      </c>
      <c r="H24" s="14">
        <f t="shared" si="1"/>
        <v>2.5</v>
      </c>
      <c r="I24" s="14">
        <f t="shared" si="1"/>
        <v>0</v>
      </c>
      <c r="J24" s="14">
        <f t="shared" si="1"/>
        <v>0</v>
      </c>
      <c r="K24" s="14">
        <f t="shared" si="1"/>
        <v>0</v>
      </c>
      <c r="L24" s="14">
        <f t="shared" si="1"/>
        <v>0</v>
      </c>
      <c r="M24" s="14">
        <f t="shared" si="1"/>
        <v>0</v>
      </c>
      <c r="N24" s="14">
        <f t="shared" si="1"/>
        <v>0</v>
      </c>
      <c r="O24" s="14">
        <f t="shared" si="1"/>
        <v>0</v>
      </c>
      <c r="P24" s="14">
        <f t="shared" si="1"/>
        <v>0</v>
      </c>
      <c r="Q24" s="15"/>
    </row>
    <row r="25" spans="2:17" ht="15" customHeight="1">
      <c r="B25" s="225"/>
      <c r="C25" s="140" t="s">
        <v>35</v>
      </c>
      <c r="D25" s="5" t="s">
        <v>16</v>
      </c>
      <c r="E25" s="16">
        <f aca="true" t="shared" si="2" ref="E25:P25">+E24*E$17*3600*24/1000000</f>
        <v>0</v>
      </c>
      <c r="F25" s="16">
        <f t="shared" si="2"/>
        <v>0</v>
      </c>
      <c r="G25" s="16">
        <f t="shared" si="2"/>
        <v>6.696</v>
      </c>
      <c r="H25" s="16">
        <f t="shared" si="2"/>
        <v>6.48</v>
      </c>
      <c r="I25" s="16">
        <f t="shared" si="2"/>
        <v>0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  <c r="N25" s="16">
        <f t="shared" si="2"/>
        <v>0</v>
      </c>
      <c r="O25" s="16">
        <f t="shared" si="2"/>
        <v>0</v>
      </c>
      <c r="P25" s="16">
        <f t="shared" si="2"/>
        <v>0</v>
      </c>
      <c r="Q25" s="15">
        <f>SUM(E25:P25)</f>
        <v>13.176</v>
      </c>
    </row>
    <row r="26" spans="2:17" ht="15" customHeight="1">
      <c r="B26" s="225"/>
      <c r="C26" s="140" t="s">
        <v>41</v>
      </c>
      <c r="D26" s="5" t="s">
        <v>16</v>
      </c>
      <c r="E26" s="16"/>
      <c r="F26" s="16"/>
      <c r="G26" s="16"/>
      <c r="H26" s="16"/>
      <c r="I26" s="16"/>
      <c r="J26" s="16">
        <f aca="true" t="shared" si="3" ref="J26:O26">J25</f>
        <v>0</v>
      </c>
      <c r="K26" s="16">
        <f t="shared" si="3"/>
        <v>0</v>
      </c>
      <c r="L26" s="16">
        <f t="shared" si="3"/>
        <v>0</v>
      </c>
      <c r="M26" s="16">
        <f t="shared" si="3"/>
        <v>0</v>
      </c>
      <c r="N26" s="16">
        <f t="shared" si="3"/>
        <v>0</v>
      </c>
      <c r="O26" s="16">
        <f t="shared" si="3"/>
        <v>0</v>
      </c>
      <c r="P26" s="16"/>
      <c r="Q26" s="15">
        <f>SUM(E26:P26)</f>
        <v>0</v>
      </c>
    </row>
    <row r="27" spans="2:17" ht="15" customHeight="1" thickBot="1">
      <c r="B27" s="206"/>
      <c r="C27" s="141" t="s">
        <v>23</v>
      </c>
      <c r="D27" s="138" t="s">
        <v>0</v>
      </c>
      <c r="E27" s="127">
        <f aca="true" t="shared" si="4" ref="E27:P27">+E24*$E$10*E$17*24/1000</f>
        <v>0</v>
      </c>
      <c r="F27" s="127">
        <f t="shared" si="4"/>
        <v>0</v>
      </c>
      <c r="G27" s="127">
        <f t="shared" si="4"/>
        <v>7.254</v>
      </c>
      <c r="H27" s="127">
        <f t="shared" si="4"/>
        <v>7.02</v>
      </c>
      <c r="I27" s="127">
        <f t="shared" si="4"/>
        <v>0</v>
      </c>
      <c r="J27" s="127">
        <f t="shared" si="4"/>
        <v>0</v>
      </c>
      <c r="K27" s="127">
        <f t="shared" si="4"/>
        <v>0</v>
      </c>
      <c r="L27" s="127">
        <f t="shared" si="4"/>
        <v>0</v>
      </c>
      <c r="M27" s="127">
        <f t="shared" si="4"/>
        <v>0</v>
      </c>
      <c r="N27" s="127">
        <f t="shared" si="4"/>
        <v>0</v>
      </c>
      <c r="O27" s="127">
        <f t="shared" si="4"/>
        <v>0</v>
      </c>
      <c r="P27" s="127">
        <f t="shared" si="4"/>
        <v>0</v>
      </c>
      <c r="Q27" s="55">
        <f>SUM(E27:P27)</f>
        <v>14.274</v>
      </c>
    </row>
    <row r="28" spans="2:17" ht="7.5" customHeight="1" thickBot="1"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8"/>
    </row>
    <row r="29" spans="2:17" ht="15" customHeight="1">
      <c r="B29" s="229" t="s">
        <v>25</v>
      </c>
      <c r="C29" s="142" t="s">
        <v>44</v>
      </c>
      <c r="D29" s="11" t="s">
        <v>16</v>
      </c>
      <c r="E29" s="12">
        <f>E12</f>
        <v>0</v>
      </c>
      <c r="F29" s="128"/>
      <c r="G29" s="129"/>
      <c r="H29" s="129"/>
      <c r="I29" s="129"/>
      <c r="J29" s="130"/>
      <c r="K29" s="130"/>
      <c r="L29" s="130"/>
      <c r="M29" s="130"/>
      <c r="N29" s="130"/>
      <c r="O29" s="130"/>
      <c r="P29" s="129"/>
      <c r="Q29" s="131"/>
    </row>
    <row r="30" spans="2:19" ht="15" customHeight="1">
      <c r="B30" s="230"/>
      <c r="C30" s="140" t="s">
        <v>32</v>
      </c>
      <c r="D30" s="13" t="s">
        <v>16</v>
      </c>
      <c r="E30" s="61">
        <f>MAX(E13,P32-P33)</f>
        <v>0</v>
      </c>
      <c r="F30" s="20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2"/>
      <c r="S30" s="92"/>
    </row>
    <row r="31" spans="2:19" ht="15" customHeight="1">
      <c r="B31" s="230"/>
      <c r="C31" s="143" t="s">
        <v>22</v>
      </c>
      <c r="D31" s="5" t="s">
        <v>15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  <c r="P31" s="88">
        <v>0</v>
      </c>
      <c r="Q31" s="23"/>
      <c r="S31" s="92"/>
    </row>
    <row r="32" spans="2:19" ht="15" customHeight="1">
      <c r="B32" s="230"/>
      <c r="C32" s="140" t="s">
        <v>24</v>
      </c>
      <c r="D32" s="5" t="s">
        <v>16</v>
      </c>
      <c r="E32" s="16">
        <f aca="true" t="shared" si="5" ref="E32:P32">+E31*E$17*3600*24/1000000</f>
        <v>0</v>
      </c>
      <c r="F32" s="16">
        <f t="shared" si="5"/>
        <v>0</v>
      </c>
      <c r="G32" s="16">
        <f t="shared" si="5"/>
        <v>0</v>
      </c>
      <c r="H32" s="16">
        <f t="shared" si="5"/>
        <v>0</v>
      </c>
      <c r="I32" s="16">
        <f t="shared" si="5"/>
        <v>0</v>
      </c>
      <c r="J32" s="16">
        <f t="shared" si="5"/>
        <v>0</v>
      </c>
      <c r="K32" s="16">
        <f t="shared" si="5"/>
        <v>0</v>
      </c>
      <c r="L32" s="16">
        <f t="shared" si="5"/>
        <v>0</v>
      </c>
      <c r="M32" s="16">
        <f t="shared" si="5"/>
        <v>0</v>
      </c>
      <c r="N32" s="16">
        <f t="shared" si="5"/>
        <v>0</v>
      </c>
      <c r="O32" s="16">
        <f t="shared" si="5"/>
        <v>0</v>
      </c>
      <c r="P32" s="16">
        <f t="shared" si="5"/>
        <v>0</v>
      </c>
      <c r="Q32" s="15">
        <f>SUM(E32:P32)</f>
        <v>0</v>
      </c>
      <c r="S32" s="93"/>
    </row>
    <row r="33" spans="2:19" ht="15" customHeight="1" hidden="1">
      <c r="B33" s="230"/>
      <c r="C33" s="144" t="s">
        <v>26</v>
      </c>
      <c r="D33" s="5" t="s">
        <v>16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5">
        <f>SUM(E33:P33)</f>
        <v>0</v>
      </c>
      <c r="S33" s="92"/>
    </row>
    <row r="34" spans="2:19" ht="15" customHeight="1">
      <c r="B34" s="230"/>
      <c r="C34" s="144" t="s">
        <v>43</v>
      </c>
      <c r="D34" s="5" t="s">
        <v>16</v>
      </c>
      <c r="E34" s="19">
        <f>E29+E32-E33</f>
        <v>0</v>
      </c>
      <c r="F34" s="19">
        <f aca="true" t="shared" si="6" ref="F34:O34">+E34+F32-F33-F35</f>
        <v>0</v>
      </c>
      <c r="G34" s="19">
        <f t="shared" si="6"/>
        <v>0</v>
      </c>
      <c r="H34" s="19">
        <f t="shared" si="6"/>
        <v>0</v>
      </c>
      <c r="I34" s="19">
        <f t="shared" si="6"/>
        <v>0</v>
      </c>
      <c r="J34" s="16">
        <f t="shared" si="6"/>
        <v>0</v>
      </c>
      <c r="K34" s="16">
        <f t="shared" si="6"/>
        <v>0</v>
      </c>
      <c r="L34" s="16">
        <f t="shared" si="6"/>
        <v>0</v>
      </c>
      <c r="M34" s="16">
        <f t="shared" si="6"/>
        <v>0</v>
      </c>
      <c r="N34" s="16">
        <f t="shared" si="6"/>
        <v>0</v>
      </c>
      <c r="O34" s="16">
        <f t="shared" si="6"/>
        <v>0</v>
      </c>
      <c r="P34" s="62">
        <f>+O34+P32-P33</f>
        <v>0</v>
      </c>
      <c r="Q34" s="15"/>
      <c r="S34" s="92"/>
    </row>
    <row r="35" spans="2:19" ht="15" customHeight="1">
      <c r="B35" s="230"/>
      <c r="C35" s="232" t="s">
        <v>31</v>
      </c>
      <c r="D35" s="5" t="s">
        <v>16</v>
      </c>
      <c r="E35" s="24"/>
      <c r="F35" s="25"/>
      <c r="G35" s="25"/>
      <c r="H35" s="25"/>
      <c r="I35" s="14"/>
      <c r="J35" s="16">
        <f aca="true" t="shared" si="7" ref="J35:O35">+$Q$35*MAX($M$14-J23,0)/(MAX($M$14-$J$23,0)+MAX($M$14-$K$23,0)+MAX($M$14-$L$23,0)+MAX($M$14-$M$23,0)+MAX($M$14-$N$23,0)+MAX($M$14-$O$23,0))</f>
        <v>0</v>
      </c>
      <c r="K35" s="16">
        <f t="shared" si="7"/>
        <v>0</v>
      </c>
      <c r="L35" s="16">
        <f t="shared" si="7"/>
        <v>0</v>
      </c>
      <c r="M35" s="16">
        <f t="shared" si="7"/>
        <v>0</v>
      </c>
      <c r="N35" s="16">
        <f t="shared" si="7"/>
        <v>0</v>
      </c>
      <c r="O35" s="16">
        <f t="shared" si="7"/>
        <v>0</v>
      </c>
      <c r="P35" s="26">
        <f>SUM(J35:O35)</f>
        <v>0</v>
      </c>
      <c r="Q35" s="15">
        <f>MAX(+E29+Q32-E30-Q33,0)</f>
        <v>0</v>
      </c>
      <c r="S35" s="93"/>
    </row>
    <row r="36" spans="2:19" ht="15" customHeight="1">
      <c r="B36" s="230"/>
      <c r="C36" s="233"/>
      <c r="D36" s="5" t="s">
        <v>15</v>
      </c>
      <c r="E36" s="27"/>
      <c r="F36" s="28"/>
      <c r="G36" s="28"/>
      <c r="H36" s="28"/>
      <c r="I36" s="29"/>
      <c r="J36" s="16">
        <f aca="true" t="shared" si="8" ref="J36:O36">J35/(J17*24*3600)*1000000</f>
        <v>0</v>
      </c>
      <c r="K36" s="16">
        <f t="shared" si="8"/>
        <v>0</v>
      </c>
      <c r="L36" s="16">
        <f t="shared" si="8"/>
        <v>0</v>
      </c>
      <c r="M36" s="16">
        <f t="shared" si="8"/>
        <v>0</v>
      </c>
      <c r="N36" s="16">
        <f t="shared" si="8"/>
        <v>0</v>
      </c>
      <c r="O36" s="16">
        <f t="shared" si="8"/>
        <v>0</v>
      </c>
      <c r="P36" s="16"/>
      <c r="Q36" s="18"/>
      <c r="S36" s="92"/>
    </row>
    <row r="37" spans="2:19" ht="15" customHeight="1" thickBot="1">
      <c r="B37" s="231"/>
      <c r="C37" s="205"/>
      <c r="D37" s="138" t="s">
        <v>0</v>
      </c>
      <c r="E37" s="132"/>
      <c r="F37" s="133"/>
      <c r="G37" s="133"/>
      <c r="H37" s="133"/>
      <c r="I37" s="134"/>
      <c r="J37" s="127">
        <f aca="true" t="shared" si="9" ref="J37:O37">+J36*$E$10*J$17*24/1000</f>
        <v>0</v>
      </c>
      <c r="K37" s="127">
        <f t="shared" si="9"/>
        <v>0</v>
      </c>
      <c r="L37" s="127">
        <f t="shared" si="9"/>
        <v>0</v>
      </c>
      <c r="M37" s="127">
        <f t="shared" si="9"/>
        <v>0</v>
      </c>
      <c r="N37" s="127">
        <f t="shared" si="9"/>
        <v>0</v>
      </c>
      <c r="O37" s="127">
        <f t="shared" si="9"/>
        <v>0</v>
      </c>
      <c r="P37" s="127"/>
      <c r="Q37" s="55">
        <f>SUM(E37:P37)</f>
        <v>0</v>
      </c>
      <c r="S37" s="92"/>
    </row>
    <row r="38" spans="2:19" s="31" customFormat="1" ht="7.5" customHeight="1" thickBot="1">
      <c r="B38" s="30"/>
      <c r="C38" s="2"/>
      <c r="D38" s="2"/>
      <c r="E38" s="2"/>
      <c r="F38" s="2"/>
      <c r="G38" s="2"/>
      <c r="H38" s="2"/>
      <c r="I38" s="2"/>
      <c r="J38" s="52"/>
      <c r="K38" s="52"/>
      <c r="L38" s="52"/>
      <c r="M38" s="52"/>
      <c r="N38" s="52"/>
      <c r="O38" s="52"/>
      <c r="P38" s="2"/>
      <c r="Q38" s="22"/>
      <c r="S38" s="92"/>
    </row>
    <row r="39" spans="2:19" s="31" customFormat="1" ht="15" customHeight="1">
      <c r="B39" s="224" t="s">
        <v>2</v>
      </c>
      <c r="C39" s="147" t="s">
        <v>42</v>
      </c>
      <c r="D39" s="5" t="s">
        <v>15</v>
      </c>
      <c r="E39" s="32"/>
      <c r="F39" s="32"/>
      <c r="G39" s="32"/>
      <c r="H39" s="32"/>
      <c r="I39" s="32"/>
      <c r="J39" s="33">
        <f aca="true" t="shared" si="10" ref="J39:O39">+J24+J36-J40</f>
        <v>0</v>
      </c>
      <c r="K39" s="33">
        <f t="shared" si="10"/>
        <v>0</v>
      </c>
      <c r="L39" s="33">
        <f t="shared" si="10"/>
        <v>0</v>
      </c>
      <c r="M39" s="33">
        <f t="shared" si="10"/>
        <v>0</v>
      </c>
      <c r="N39" s="33">
        <f t="shared" si="10"/>
        <v>0</v>
      </c>
      <c r="O39" s="33">
        <f t="shared" si="10"/>
        <v>0</v>
      </c>
      <c r="P39" s="32"/>
      <c r="Q39" s="34"/>
      <c r="S39" s="92"/>
    </row>
    <row r="40" spans="2:19" ht="15" customHeight="1">
      <c r="B40" s="225"/>
      <c r="C40" s="140" t="s">
        <v>33</v>
      </c>
      <c r="D40" s="5" t="s">
        <v>15</v>
      </c>
      <c r="E40" s="16">
        <f aca="true" t="shared" si="11" ref="E40:P40">MIN(E24+E36,$M$14)</f>
        <v>0</v>
      </c>
      <c r="F40" s="16">
        <f t="shared" si="11"/>
        <v>0</v>
      </c>
      <c r="G40" s="16">
        <f t="shared" si="11"/>
        <v>2.5</v>
      </c>
      <c r="H40" s="16">
        <f t="shared" si="11"/>
        <v>2.5</v>
      </c>
      <c r="I40" s="16">
        <f t="shared" si="11"/>
        <v>0</v>
      </c>
      <c r="J40" s="16">
        <f t="shared" si="11"/>
        <v>0</v>
      </c>
      <c r="K40" s="16">
        <f t="shared" si="11"/>
        <v>0</v>
      </c>
      <c r="L40" s="16">
        <f t="shared" si="11"/>
        <v>0</v>
      </c>
      <c r="M40" s="16">
        <f t="shared" si="11"/>
        <v>0</v>
      </c>
      <c r="N40" s="16">
        <f t="shared" si="11"/>
        <v>0</v>
      </c>
      <c r="O40" s="16">
        <f t="shared" si="11"/>
        <v>0</v>
      </c>
      <c r="P40" s="16">
        <f t="shared" si="11"/>
        <v>0</v>
      </c>
      <c r="Q40" s="35"/>
      <c r="S40" s="92"/>
    </row>
    <row r="41" spans="2:19" ht="15" customHeight="1">
      <c r="B41" s="226"/>
      <c r="C41" s="148" t="s">
        <v>23</v>
      </c>
      <c r="D41" s="5" t="s">
        <v>0</v>
      </c>
      <c r="E41" s="16">
        <f aca="true" t="shared" si="12" ref="E41:P41">+E40*$E$10*E17*24/1000</f>
        <v>0</v>
      </c>
      <c r="F41" s="16">
        <f t="shared" si="12"/>
        <v>0</v>
      </c>
      <c r="G41" s="16">
        <f t="shared" si="12"/>
        <v>7.254</v>
      </c>
      <c r="H41" s="16">
        <f t="shared" si="12"/>
        <v>7.02</v>
      </c>
      <c r="I41" s="16">
        <f t="shared" si="12"/>
        <v>0</v>
      </c>
      <c r="J41" s="16">
        <f t="shared" si="12"/>
        <v>0</v>
      </c>
      <c r="K41" s="16">
        <f t="shared" si="12"/>
        <v>0</v>
      </c>
      <c r="L41" s="16">
        <f t="shared" si="12"/>
        <v>0</v>
      </c>
      <c r="M41" s="16">
        <f t="shared" si="12"/>
        <v>0</v>
      </c>
      <c r="N41" s="16">
        <f t="shared" si="12"/>
        <v>0</v>
      </c>
      <c r="O41" s="16">
        <f t="shared" si="12"/>
        <v>0</v>
      </c>
      <c r="P41" s="16">
        <f t="shared" si="12"/>
        <v>0</v>
      </c>
      <c r="Q41" s="15">
        <f>SUM(E41:P41)</f>
        <v>14.274</v>
      </c>
      <c r="R41" s="36"/>
      <c r="S41" s="92"/>
    </row>
    <row r="42" spans="2:19" ht="15.75" customHeight="1">
      <c r="B42" s="17"/>
      <c r="C42" s="18"/>
      <c r="D42" s="3"/>
      <c r="E42" s="3"/>
      <c r="F42" s="3"/>
      <c r="G42" s="3"/>
      <c r="H42" s="3"/>
      <c r="I42" s="3"/>
      <c r="J42" s="50"/>
      <c r="K42" s="50"/>
      <c r="L42" s="50"/>
      <c r="M42" s="50"/>
      <c r="N42" s="50"/>
      <c r="O42" s="50"/>
      <c r="P42" s="3"/>
      <c r="Q42" s="18"/>
      <c r="S42" s="92"/>
    </row>
    <row r="43" spans="2:19" ht="15" customHeight="1">
      <c r="B43" s="145" t="s">
        <v>54</v>
      </c>
      <c r="C43" s="149"/>
      <c r="D43" s="5" t="s">
        <v>79</v>
      </c>
      <c r="E43" s="150">
        <f aca="true" t="shared" si="13" ref="E43:P43">1-E47</f>
        <v>0.992831541218638</v>
      </c>
      <c r="F43" s="150">
        <f t="shared" si="13"/>
        <v>0.9603174603174603</v>
      </c>
      <c r="G43" s="150">
        <f t="shared" si="13"/>
        <v>0.96415770609319</v>
      </c>
      <c r="H43" s="150">
        <f t="shared" si="13"/>
        <v>0.9925925925925926</v>
      </c>
      <c r="I43" s="150">
        <f t="shared" si="13"/>
        <v>1</v>
      </c>
      <c r="J43" s="150">
        <f t="shared" si="13"/>
        <v>0.9888888888888889</v>
      </c>
      <c r="K43" s="150">
        <f t="shared" si="13"/>
        <v>1</v>
      </c>
      <c r="L43" s="150">
        <f t="shared" si="13"/>
        <v>0.9032258064516129</v>
      </c>
      <c r="M43" s="150">
        <f t="shared" si="13"/>
        <v>0.9333333333333333</v>
      </c>
      <c r="N43" s="150">
        <f t="shared" si="13"/>
        <v>0.9946236559139785</v>
      </c>
      <c r="O43" s="150">
        <f t="shared" si="13"/>
        <v>0.9972222222222222</v>
      </c>
      <c r="P43" s="150">
        <f t="shared" si="13"/>
        <v>1</v>
      </c>
      <c r="Q43" s="37"/>
      <c r="S43" s="92"/>
    </row>
    <row r="44" spans="2:19" ht="15" customHeight="1">
      <c r="B44" s="17"/>
      <c r="C44" s="18"/>
      <c r="D44" s="3"/>
      <c r="E44" s="3"/>
      <c r="F44" s="3"/>
      <c r="G44" s="3"/>
      <c r="H44" s="3"/>
      <c r="I44" s="3"/>
      <c r="J44" s="51"/>
      <c r="K44" s="51"/>
      <c r="L44" s="51"/>
      <c r="M44" s="51"/>
      <c r="N44" s="51"/>
      <c r="O44" s="51"/>
      <c r="P44" s="3"/>
      <c r="Q44" s="38"/>
      <c r="S44" s="92"/>
    </row>
    <row r="45" spans="2:19" ht="15" customHeight="1" thickBot="1">
      <c r="B45" s="215" t="s">
        <v>34</v>
      </c>
      <c r="C45" s="216"/>
      <c r="D45" s="151" t="s">
        <v>80</v>
      </c>
      <c r="E45" s="39"/>
      <c r="F45" s="40"/>
      <c r="G45" s="41"/>
      <c r="H45" s="41"/>
      <c r="I45" s="42"/>
      <c r="J45" s="43">
        <f aca="true" t="shared" si="14" ref="J45:O45">MIN(J41,$E$9*J17*24*J43/1000)</f>
        <v>0</v>
      </c>
      <c r="K45" s="43">
        <f t="shared" si="14"/>
        <v>0</v>
      </c>
      <c r="L45" s="43">
        <f t="shared" si="14"/>
        <v>0</v>
      </c>
      <c r="M45" s="43">
        <f t="shared" si="14"/>
        <v>0</v>
      </c>
      <c r="N45" s="43">
        <f t="shared" si="14"/>
        <v>0</v>
      </c>
      <c r="O45" s="43">
        <f t="shared" si="14"/>
        <v>0</v>
      </c>
      <c r="P45" s="44"/>
      <c r="Q45" s="60">
        <f>SUM(J45:O45)</f>
        <v>0</v>
      </c>
      <c r="S45" s="92"/>
    </row>
    <row r="46" ht="15" customHeight="1" thickBot="1">
      <c r="S46" s="92"/>
    </row>
    <row r="47" spans="2:19" ht="15" customHeight="1" thickBot="1">
      <c r="B47" s="217" t="s">
        <v>60</v>
      </c>
      <c r="C47" s="218"/>
      <c r="D47" s="137" t="s">
        <v>79</v>
      </c>
      <c r="E47" s="135">
        <v>0.007168458781362008</v>
      </c>
      <c r="F47" s="135">
        <v>0.03968253968253968</v>
      </c>
      <c r="G47" s="135">
        <v>0.035842293906810034</v>
      </c>
      <c r="H47" s="135">
        <v>0.007407407407407408</v>
      </c>
      <c r="I47" s="135">
        <v>0</v>
      </c>
      <c r="J47" s="135">
        <v>0.011111111111111112</v>
      </c>
      <c r="K47" s="135">
        <v>0</v>
      </c>
      <c r="L47" s="135">
        <v>0.09677419354838711</v>
      </c>
      <c r="M47" s="135">
        <v>0.06666666666666667</v>
      </c>
      <c r="N47" s="135">
        <v>0.005376344086021505</v>
      </c>
      <c r="O47" s="135">
        <v>0.002777777777777778</v>
      </c>
      <c r="P47" s="136">
        <v>0</v>
      </c>
      <c r="S47" s="92"/>
    </row>
    <row r="48" spans="2:19" ht="15" customHeight="1">
      <c r="B48" s="3"/>
      <c r="C48" s="3"/>
      <c r="D48" s="3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S48" s="92"/>
    </row>
    <row r="49" spans="1:16" ht="15" customHeight="1">
      <c r="A49" s="8"/>
      <c r="B49" s="86" t="s">
        <v>59</v>
      </c>
      <c r="L49" s="202"/>
      <c r="O49" s="213"/>
      <c r="P49" s="214"/>
    </row>
    <row r="50" spans="1:2" ht="14.25" thickBot="1">
      <c r="A50" s="45"/>
      <c r="B50" s="9"/>
    </row>
    <row r="51" spans="1:17" ht="15" customHeight="1">
      <c r="A51" s="4"/>
      <c r="B51" s="4"/>
      <c r="C51" s="235"/>
      <c r="D51" s="240" t="s">
        <v>37</v>
      </c>
      <c r="E51" s="237" t="s">
        <v>50</v>
      </c>
      <c r="F51" s="238"/>
      <c r="G51" s="239"/>
      <c r="H51" s="242" t="s">
        <v>81</v>
      </c>
      <c r="I51" s="243"/>
      <c r="J51" s="243"/>
      <c r="K51" s="244"/>
      <c r="L51" s="179"/>
      <c r="M51" s="178" t="s">
        <v>39</v>
      </c>
      <c r="N51" s="178"/>
      <c r="O51" s="182"/>
      <c r="P51" s="186"/>
      <c r="Q51" s="187"/>
    </row>
    <row r="52" spans="1:17" ht="15" customHeight="1">
      <c r="A52" s="4"/>
      <c r="B52" s="4"/>
      <c r="C52" s="236"/>
      <c r="D52" s="241"/>
      <c r="E52" s="57" t="s">
        <v>48</v>
      </c>
      <c r="F52" s="46" t="s">
        <v>38</v>
      </c>
      <c r="G52" s="181" t="s">
        <v>50</v>
      </c>
      <c r="H52" s="57" t="s">
        <v>85</v>
      </c>
      <c r="I52" s="46" t="s">
        <v>82</v>
      </c>
      <c r="J52" s="46" t="s">
        <v>83</v>
      </c>
      <c r="K52" s="177" t="s">
        <v>49</v>
      </c>
      <c r="L52" s="57" t="s">
        <v>37</v>
      </c>
      <c r="M52" s="46" t="s">
        <v>84</v>
      </c>
      <c r="N52" s="181" t="s">
        <v>39</v>
      </c>
      <c r="O52" s="183" t="s">
        <v>51</v>
      </c>
      <c r="P52" s="195" t="s">
        <v>52</v>
      </c>
      <c r="Q52" s="188" t="s">
        <v>40</v>
      </c>
    </row>
    <row r="53" spans="1:17" ht="15" customHeight="1" thickBot="1">
      <c r="A53" s="4"/>
      <c r="B53" s="4"/>
      <c r="C53" s="47" t="s">
        <v>0</v>
      </c>
      <c r="D53" s="56">
        <f>Q45</f>
        <v>0</v>
      </c>
      <c r="E53" s="58">
        <f>P35*E10/3.6</f>
        <v>0</v>
      </c>
      <c r="F53" s="49">
        <f>E9*M10*M13/1000</f>
        <v>12.48975</v>
      </c>
      <c r="G53" s="55">
        <f>+MIN(E53:F53)</f>
        <v>0</v>
      </c>
      <c r="H53" s="58">
        <f>+L9*E10/3.6*183</f>
        <v>69.9326875</v>
      </c>
      <c r="I53" s="48">
        <f>+SUM(J26:O26)*E10/3.6</f>
        <v>0</v>
      </c>
      <c r="J53" s="48">
        <f>+E9*M10*M13/1000</f>
        <v>12.48975</v>
      </c>
      <c r="K53" s="55">
        <f>+MIN(H53:J53)</f>
        <v>0</v>
      </c>
      <c r="L53" s="58">
        <f>+(D53-G53)</f>
        <v>0</v>
      </c>
      <c r="M53" s="48">
        <f>+L53*7/(24)</f>
        <v>0</v>
      </c>
      <c r="N53" s="185">
        <f>+M53/(183*7)*1000</f>
        <v>0</v>
      </c>
      <c r="O53" s="184">
        <f>+MIN(K53+G53,E9*M10*M13/1000-M53)</f>
        <v>0</v>
      </c>
      <c r="P53" s="180">
        <f>+O53/(7*183)*1000</f>
        <v>0</v>
      </c>
      <c r="Q53" s="192">
        <f>+P53+N53</f>
        <v>0</v>
      </c>
    </row>
    <row r="54" spans="1:18" ht="15" customHeight="1">
      <c r="A54" s="71"/>
      <c r="B54" s="2"/>
      <c r="C54" s="2"/>
      <c r="D54" s="193"/>
      <c r="E54" s="193"/>
      <c r="F54" s="193"/>
      <c r="G54" s="193"/>
      <c r="H54" s="193"/>
      <c r="I54" s="193"/>
      <c r="J54" s="193"/>
      <c r="K54" s="92"/>
      <c r="L54" s="92"/>
      <c r="M54" s="92"/>
      <c r="N54" s="92"/>
      <c r="O54" s="92"/>
      <c r="P54" s="92"/>
      <c r="R54" s="10"/>
    </row>
    <row r="55" spans="1:17" ht="15" customHeight="1">
      <c r="A55" s="71"/>
      <c r="B55" s="71"/>
      <c r="C55" s="2"/>
      <c r="D55" s="71"/>
      <c r="E55" s="223"/>
      <c r="F55" s="223"/>
      <c r="G55" s="223"/>
      <c r="H55" s="223"/>
      <c r="I55" s="193"/>
      <c r="J55" s="2"/>
      <c r="L55" s="92"/>
      <c r="M55" s="92"/>
      <c r="N55" s="92"/>
      <c r="O55" s="92"/>
      <c r="P55" s="92"/>
      <c r="Q55" s="92"/>
    </row>
    <row r="56" spans="1:17" ht="15" customHeight="1">
      <c r="A56" s="71"/>
      <c r="B56" s="71"/>
      <c r="C56" s="2"/>
      <c r="D56" s="75"/>
      <c r="E56" s="234"/>
      <c r="F56" s="234"/>
      <c r="G56" s="234"/>
      <c r="H56" s="234"/>
      <c r="I56" s="193"/>
      <c r="J56" s="2"/>
      <c r="L56" s="92"/>
      <c r="M56" s="93"/>
      <c r="N56" s="92"/>
      <c r="O56" s="92"/>
      <c r="P56" s="92"/>
      <c r="Q56" s="92"/>
    </row>
    <row r="57" spans="1:18" ht="15" customHeight="1">
      <c r="A57" s="71"/>
      <c r="B57" s="2"/>
      <c r="C57" s="2"/>
      <c r="D57" s="193"/>
      <c r="E57" s="2"/>
      <c r="F57" s="2"/>
      <c r="G57" s="193"/>
      <c r="H57" s="193"/>
      <c r="I57" s="193"/>
      <c r="J57" s="193"/>
      <c r="K57" s="92"/>
      <c r="L57" s="92"/>
      <c r="M57" s="92"/>
      <c r="N57" s="92"/>
      <c r="O57" s="92"/>
      <c r="P57" s="92"/>
      <c r="R57" s="10"/>
    </row>
    <row r="58" spans="1:18" ht="15" customHeight="1">
      <c r="A58" s="71"/>
      <c r="B58" s="2"/>
      <c r="C58" s="2"/>
      <c r="D58" s="193"/>
      <c r="E58" s="193"/>
      <c r="F58" s="193"/>
      <c r="G58" s="193"/>
      <c r="H58" s="193"/>
      <c r="I58" s="193"/>
      <c r="J58" s="193"/>
      <c r="K58" s="92"/>
      <c r="L58" s="92"/>
      <c r="M58" s="92"/>
      <c r="N58" s="92"/>
      <c r="O58" s="92"/>
      <c r="P58" s="92"/>
      <c r="R58" s="10"/>
    </row>
    <row r="59" spans="1:10" ht="15" customHeight="1">
      <c r="A59" s="194"/>
      <c r="B59" s="189"/>
      <c r="C59" s="2"/>
      <c r="D59" s="2"/>
      <c r="E59" s="2"/>
      <c r="F59" s="2"/>
      <c r="G59" s="2"/>
      <c r="H59" s="2"/>
      <c r="I59" s="2"/>
      <c r="J59" s="2"/>
    </row>
    <row r="60" spans="1:10" ht="13.5">
      <c r="A60" s="191"/>
      <c r="B60" s="190"/>
      <c r="C60" s="2"/>
      <c r="D60" s="2"/>
      <c r="E60" s="2"/>
      <c r="F60" s="2"/>
      <c r="G60" s="2"/>
      <c r="H60" s="2"/>
      <c r="I60" s="2"/>
      <c r="J60" s="2"/>
    </row>
    <row r="61" spans="1:10" ht="15" customHeight="1">
      <c r="A61" s="191"/>
      <c r="B61" s="190"/>
      <c r="C61" s="2"/>
      <c r="D61" s="223"/>
      <c r="E61" s="223"/>
      <c r="F61" s="223"/>
      <c r="G61" s="223"/>
      <c r="H61" s="221"/>
      <c r="I61" s="221"/>
      <c r="J61" s="2"/>
    </row>
    <row r="62" spans="1:10" ht="15" customHeight="1">
      <c r="A62" s="191"/>
      <c r="B62" s="190"/>
      <c r="C62" s="71"/>
      <c r="D62" s="220"/>
      <c r="E62" s="220"/>
      <c r="F62" s="220"/>
      <c r="G62" s="220"/>
      <c r="H62" s="222"/>
      <c r="I62" s="222"/>
      <c r="J62" s="2"/>
    </row>
    <row r="63" spans="1:11" ht="15" customHeight="1">
      <c r="A63" s="45"/>
      <c r="B63" s="9"/>
      <c r="H63"/>
      <c r="I63"/>
      <c r="J63"/>
      <c r="K63"/>
    </row>
    <row r="64" spans="1:9" ht="15" customHeight="1">
      <c r="A64" s="45"/>
      <c r="B64" s="9"/>
      <c r="D64" s="87"/>
      <c r="E64" s="87"/>
      <c r="F64" s="87"/>
      <c r="G64" s="87"/>
      <c r="H64" s="219"/>
      <c r="I64" s="219"/>
    </row>
    <row r="65" spans="1:2" ht="15" customHeight="1">
      <c r="A65" s="45"/>
      <c r="B65" s="9"/>
    </row>
    <row r="66" ht="15" customHeight="1"/>
    <row r="67" ht="15" customHeight="1"/>
    <row r="68" ht="15" customHeight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  <row r="181" ht="13.5" hidden="1"/>
    <row r="182" ht="13.5" hidden="1"/>
    <row r="183" ht="13.5" hidden="1"/>
    <row r="184" ht="13.5" hidden="1"/>
    <row r="185" ht="13.5" hidden="1"/>
    <row r="186" ht="13.5" hidden="1"/>
    <row r="187" ht="13.5" hidden="1"/>
    <row r="188" ht="13.5" hidden="1"/>
    <row r="189" ht="13.5" hidden="1"/>
    <row r="190" ht="13.5" hidden="1"/>
    <row r="191" ht="13.5" hidden="1"/>
    <row r="192" ht="13.5" hidden="1"/>
    <row r="193" ht="13.5"/>
    <row r="194" ht="13.5"/>
    <row r="195" ht="13.5"/>
    <row r="196" ht="13.5"/>
  </sheetData>
  <mergeCells count="25">
    <mergeCell ref="G56:H56"/>
    <mergeCell ref="C51:C52"/>
    <mergeCell ref="E51:G51"/>
    <mergeCell ref="D51:D52"/>
    <mergeCell ref="E55:F55"/>
    <mergeCell ref="E56:F56"/>
    <mergeCell ref="H51:K51"/>
    <mergeCell ref="G55:H55"/>
    <mergeCell ref="B39:B41"/>
    <mergeCell ref="B6:Q6"/>
    <mergeCell ref="B7:Q7"/>
    <mergeCell ref="B29:B37"/>
    <mergeCell ref="C35:C37"/>
    <mergeCell ref="B23:B27"/>
    <mergeCell ref="B21:C21"/>
    <mergeCell ref="O49:P49"/>
    <mergeCell ref="B45:C45"/>
    <mergeCell ref="B47:C47"/>
    <mergeCell ref="H64:I64"/>
    <mergeCell ref="F62:G62"/>
    <mergeCell ref="H61:I61"/>
    <mergeCell ref="H62:I62"/>
    <mergeCell ref="F61:G61"/>
    <mergeCell ref="D61:E61"/>
    <mergeCell ref="D62:E62"/>
  </mergeCells>
  <conditionalFormatting sqref="J45:O45">
    <cfRule type="expression" priority="1" dxfId="0" stopIfTrue="1">
      <formula>AND(J41&lt;&gt;J45)</formula>
    </cfRule>
  </conditionalFormatting>
  <printOptions horizontalCentered="1" verticalCentered="1"/>
  <pageMargins left="0.5905511811023623" right="0.1968503937007874" top="0.33" bottom="0.3937007874015748" header="0" footer="0.5905511811023623"/>
  <pageSetup horizontalDpi="300" verticalDpi="300" orientation="portrait" paperSize="9" scale="72" r:id="rId2"/>
  <headerFooter alignWithMargins="0">
    <oddFooter>&amp;R&amp;7&amp;F   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89"/>
  <sheetViews>
    <sheetView view="pageBreakPreview" zoomScale="60" zoomScaleNormal="65" workbookViewId="0" topLeftCell="M1">
      <selection activeCell="Y13" sqref="Y13"/>
    </sheetView>
  </sheetViews>
  <sheetFormatPr defaultColWidth="11.00390625" defaultRowHeight="15" customHeight="1"/>
  <cols>
    <col min="1" max="17" width="11.00390625" style="53" customWidth="1"/>
    <col min="18" max="18" width="12.625" style="53" customWidth="1"/>
    <col min="19" max="36" width="12.625" style="99" customWidth="1"/>
    <col min="37" max="202" width="11.00390625" style="53" hidden="1" customWidth="1"/>
    <col min="203" max="16384" width="0" style="53" hidden="1" customWidth="1"/>
  </cols>
  <sheetData>
    <row r="1" spans="1:35" ht="41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 s="249" t="s">
        <v>88</v>
      </c>
      <c r="Y1"/>
      <c r="Z1"/>
      <c r="AA1"/>
      <c r="AB1"/>
      <c r="AC1"/>
      <c r="AD1" s="101"/>
      <c r="AE1" s="101"/>
      <c r="AF1" s="101"/>
      <c r="AG1" s="101"/>
      <c r="AH1" s="101"/>
      <c r="AI1" s="101"/>
    </row>
    <row r="2" spans="1:35" ht="15" customHeight="1">
      <c r="A2" s="107" t="s">
        <v>62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/>
      <c r="P2"/>
      <c r="Q2" s="107" t="s">
        <v>62</v>
      </c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1"/>
      <c r="AE2" s="101"/>
      <c r="AF2" s="101"/>
      <c r="AG2" s="101"/>
      <c r="AH2" s="101"/>
      <c r="AI2" s="101"/>
    </row>
    <row r="3" spans="1:35" ht="15" customHeight="1">
      <c r="A3" s="107" t="s">
        <v>78</v>
      </c>
      <c r="B3" s="107"/>
      <c r="C3" s="107"/>
      <c r="D3" s="107"/>
      <c r="E3" s="107"/>
      <c r="F3" s="107"/>
      <c r="G3" s="107"/>
      <c r="H3" s="107"/>
      <c r="I3" s="107"/>
      <c r="J3" s="107"/>
      <c r="K3" s="108"/>
      <c r="L3" s="107"/>
      <c r="M3" s="107"/>
      <c r="N3" s="107"/>
      <c r="O3"/>
      <c r="P3"/>
      <c r="Q3" s="107" t="s">
        <v>78</v>
      </c>
      <c r="R3" s="107"/>
      <c r="S3" s="107"/>
      <c r="T3" s="107"/>
      <c r="U3" s="107"/>
      <c r="V3" s="107"/>
      <c r="W3" s="107"/>
      <c r="X3" s="107"/>
      <c r="Y3" s="107"/>
      <c r="Z3" s="107"/>
      <c r="AA3" s="108"/>
      <c r="AB3" s="107"/>
      <c r="AC3" s="107"/>
      <c r="AD3" s="102"/>
      <c r="AE3" s="98"/>
      <c r="AG3" s="98"/>
      <c r="AH3" s="98"/>
      <c r="AI3" s="98"/>
    </row>
    <row r="4" spans="1:35" ht="1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 s="102"/>
      <c r="AE4" s="98"/>
      <c r="AG4" s="98"/>
      <c r="AH4" s="98"/>
      <c r="AI4" s="98"/>
    </row>
    <row r="5" spans="1:35" ht="15" customHeight="1">
      <c r="A5" s="167" t="s">
        <v>63</v>
      </c>
      <c r="B5" s="165" t="s">
        <v>64</v>
      </c>
      <c r="C5" s="165" t="s">
        <v>65</v>
      </c>
      <c r="D5" s="165" t="s">
        <v>66</v>
      </c>
      <c r="E5" s="165" t="s">
        <v>67</v>
      </c>
      <c r="F5" s="165" t="s">
        <v>68</v>
      </c>
      <c r="G5" s="165" t="s">
        <v>69</v>
      </c>
      <c r="H5" s="165" t="s">
        <v>70</v>
      </c>
      <c r="I5" s="165" t="s">
        <v>71</v>
      </c>
      <c r="J5" s="165" t="s">
        <v>72</v>
      </c>
      <c r="K5" s="165" t="s">
        <v>73</v>
      </c>
      <c r="L5" s="166" t="s">
        <v>74</v>
      </c>
      <c r="M5" s="165" t="s">
        <v>75</v>
      </c>
      <c r="N5" s="165"/>
      <c r="O5"/>
      <c r="P5" s="245" t="s">
        <v>76</v>
      </c>
      <c r="Q5" s="246"/>
      <c r="R5" s="153" t="s">
        <v>64</v>
      </c>
      <c r="S5" s="153" t="s">
        <v>65</v>
      </c>
      <c r="T5" s="153" t="s">
        <v>66</v>
      </c>
      <c r="U5" s="153" t="s">
        <v>67</v>
      </c>
      <c r="V5" s="153" t="s">
        <v>68</v>
      </c>
      <c r="W5" s="153" t="s">
        <v>69</v>
      </c>
      <c r="X5" s="153" t="s">
        <v>70</v>
      </c>
      <c r="Y5" s="153" t="s">
        <v>71</v>
      </c>
      <c r="Z5" s="153" t="s">
        <v>72</v>
      </c>
      <c r="AA5" s="153" t="s">
        <v>73</v>
      </c>
      <c r="AB5" s="159" t="s">
        <v>74</v>
      </c>
      <c r="AC5" s="153" t="s">
        <v>75</v>
      </c>
      <c r="AD5" s="102"/>
      <c r="AE5" s="98"/>
      <c r="AG5" s="98"/>
      <c r="AH5" s="98"/>
      <c r="AI5" s="98"/>
    </row>
    <row r="6" spans="1:35" ht="15" customHeight="1">
      <c r="A6" s="168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4"/>
      <c r="M6" s="113"/>
      <c r="N6" s="113"/>
      <c r="O6"/>
      <c r="P6" s="247"/>
      <c r="Q6" s="248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73"/>
      <c r="AC6" s="154"/>
      <c r="AD6" s="102"/>
      <c r="AE6" s="98"/>
      <c r="AG6" s="98"/>
      <c r="AH6" s="98"/>
      <c r="AI6" s="98"/>
    </row>
    <row r="7" spans="1:35" ht="15" customHeight="1">
      <c r="A7" s="169">
        <v>1965</v>
      </c>
      <c r="B7" s="115">
        <f aca="true" t="shared" si="0" ref="B7:B46">+IF(B64-24&lt;0,0,B64-24)</f>
        <v>0</v>
      </c>
      <c r="C7" s="115">
        <f aca="true" t="shared" si="1" ref="C7:M7">+IF(C64-24&lt;0,0,C64-24)</f>
        <v>0.6700000000000017</v>
      </c>
      <c r="D7" s="115">
        <f t="shared" si="1"/>
        <v>33.54</v>
      </c>
      <c r="E7" s="115">
        <f t="shared" si="1"/>
        <v>44.69</v>
      </c>
      <c r="F7" s="115">
        <f t="shared" si="1"/>
        <v>9.39</v>
      </c>
      <c r="G7" s="115">
        <f t="shared" si="1"/>
        <v>0</v>
      </c>
      <c r="H7" s="115">
        <f t="shared" si="1"/>
        <v>0</v>
      </c>
      <c r="I7" s="115">
        <f t="shared" si="1"/>
        <v>0</v>
      </c>
      <c r="J7" s="115">
        <f t="shared" si="1"/>
        <v>0</v>
      </c>
      <c r="K7" s="115">
        <f t="shared" si="1"/>
        <v>0.6999999999999993</v>
      </c>
      <c r="L7" s="115">
        <f t="shared" si="1"/>
        <v>20.950000000000003</v>
      </c>
      <c r="M7" s="115">
        <f t="shared" si="1"/>
        <v>0</v>
      </c>
      <c r="N7" s="116"/>
      <c r="O7"/>
      <c r="P7" s="157">
        <v>1</v>
      </c>
      <c r="Q7" s="171">
        <f aca="true" t="shared" si="2" ref="Q7:Q45">+P7/$P$46</f>
        <v>0.025</v>
      </c>
      <c r="R7" s="209">
        <v>59.57</v>
      </c>
      <c r="S7" s="209">
        <v>86.99</v>
      </c>
      <c r="T7" s="209">
        <v>137.87423991935484</v>
      </c>
      <c r="U7" s="210">
        <v>111.28633333333332</v>
      </c>
      <c r="V7" s="209">
        <v>44.88</v>
      </c>
      <c r="W7" s="212">
        <v>0</v>
      </c>
      <c r="X7" s="212">
        <v>0</v>
      </c>
      <c r="Y7" s="212">
        <v>0</v>
      </c>
      <c r="Z7" s="209">
        <v>7.29</v>
      </c>
      <c r="AA7" s="209">
        <v>40.13</v>
      </c>
      <c r="AB7" s="209">
        <v>32.6812679861111</v>
      </c>
      <c r="AC7" s="209">
        <v>47.5</v>
      </c>
      <c r="AD7" s="197"/>
      <c r="AE7" s="98"/>
      <c r="AF7" s="98"/>
      <c r="AG7" s="98"/>
      <c r="AH7" s="98"/>
      <c r="AI7" s="98"/>
    </row>
    <row r="8" spans="1:35" ht="15" customHeight="1">
      <c r="A8" s="169">
        <v>1966</v>
      </c>
      <c r="B8" s="115">
        <f t="shared" si="0"/>
        <v>19.310000000000002</v>
      </c>
      <c r="C8" s="115">
        <f aca="true" t="shared" si="3" ref="C8:M8">+IF(C65-24&lt;0,0,C65-24)</f>
        <v>0</v>
      </c>
      <c r="D8" s="115">
        <f t="shared" si="3"/>
        <v>5.600000000000001</v>
      </c>
      <c r="E8" s="115">
        <f t="shared" si="3"/>
        <v>7.890000000000001</v>
      </c>
      <c r="F8" s="115">
        <f t="shared" si="3"/>
        <v>17.119999999999997</v>
      </c>
      <c r="G8" s="115">
        <f t="shared" si="3"/>
        <v>0</v>
      </c>
      <c r="H8" s="115">
        <f t="shared" si="3"/>
        <v>0</v>
      </c>
      <c r="I8" s="115">
        <f t="shared" si="3"/>
        <v>0</v>
      </c>
      <c r="J8" s="115">
        <f t="shared" si="3"/>
        <v>0</v>
      </c>
      <c r="K8" s="115">
        <f t="shared" si="3"/>
        <v>12.469999999999999</v>
      </c>
      <c r="L8" s="115">
        <f t="shared" si="3"/>
        <v>5.600000000000001</v>
      </c>
      <c r="M8" s="115">
        <f t="shared" si="3"/>
        <v>0</v>
      </c>
      <c r="N8" s="116"/>
      <c r="O8"/>
      <c r="P8" s="157">
        <v>2</v>
      </c>
      <c r="Q8" s="171">
        <f t="shared" si="2"/>
        <v>0.05</v>
      </c>
      <c r="R8" s="209">
        <v>52.87</v>
      </c>
      <c r="S8" s="209">
        <v>76.27</v>
      </c>
      <c r="T8" s="209">
        <v>108.40042682984341</v>
      </c>
      <c r="U8" s="210">
        <v>111.27</v>
      </c>
      <c r="V8" s="209">
        <v>44.79</v>
      </c>
      <c r="W8" s="209">
        <v>17.866201944444455</v>
      </c>
      <c r="X8" s="209">
        <v>4.949278561827963</v>
      </c>
      <c r="Y8" s="210">
        <v>0</v>
      </c>
      <c r="Z8" s="210">
        <v>2.59</v>
      </c>
      <c r="AA8" s="209">
        <v>30.32</v>
      </c>
      <c r="AB8" s="209">
        <v>25.57</v>
      </c>
      <c r="AC8" s="209">
        <v>28.91</v>
      </c>
      <c r="AD8" s="197"/>
      <c r="AE8" s="94"/>
      <c r="AF8" s="94"/>
      <c r="AG8" s="94"/>
      <c r="AH8" s="94"/>
      <c r="AI8" s="94"/>
    </row>
    <row r="9" spans="1:35" ht="15" customHeight="1">
      <c r="A9" s="169">
        <v>1967</v>
      </c>
      <c r="B9" s="115">
        <f t="shared" si="0"/>
        <v>24.229999999999997</v>
      </c>
      <c r="C9" s="115">
        <f aca="true" t="shared" si="4" ref="C9:M9">+IF(C66-24&lt;0,0,C66-24)</f>
        <v>49.849999999999994</v>
      </c>
      <c r="D9" s="115">
        <f t="shared" si="4"/>
        <v>34.62</v>
      </c>
      <c r="E9" s="115">
        <f t="shared" si="4"/>
        <v>8.119999999999997</v>
      </c>
      <c r="F9" s="115">
        <f t="shared" si="4"/>
        <v>3.289999999999999</v>
      </c>
      <c r="G9" s="115">
        <f t="shared" si="4"/>
        <v>0</v>
      </c>
      <c r="H9" s="115">
        <f t="shared" si="4"/>
        <v>0</v>
      </c>
      <c r="I9" s="115">
        <f t="shared" si="4"/>
        <v>0</v>
      </c>
      <c r="J9" s="115">
        <f t="shared" si="4"/>
        <v>0</v>
      </c>
      <c r="K9" s="115">
        <f t="shared" si="4"/>
        <v>3.210000000000001</v>
      </c>
      <c r="L9" s="115">
        <f t="shared" si="4"/>
        <v>0</v>
      </c>
      <c r="M9" s="115">
        <f t="shared" si="4"/>
        <v>0</v>
      </c>
      <c r="N9" s="116"/>
      <c r="O9"/>
      <c r="P9" s="157">
        <v>3</v>
      </c>
      <c r="Q9" s="171">
        <f t="shared" si="2"/>
        <v>0.075</v>
      </c>
      <c r="R9" s="209">
        <v>45.06</v>
      </c>
      <c r="S9" s="209">
        <v>73.12571428571428</v>
      </c>
      <c r="T9" s="209">
        <v>87.58</v>
      </c>
      <c r="U9" s="209">
        <v>97.17</v>
      </c>
      <c r="V9" s="211">
        <v>42.37361021505379</v>
      </c>
      <c r="W9" s="209">
        <v>7.2</v>
      </c>
      <c r="X9" s="209">
        <v>0</v>
      </c>
      <c r="Y9" s="209">
        <v>0</v>
      </c>
      <c r="Z9" s="209">
        <v>0</v>
      </c>
      <c r="AA9" s="209">
        <v>26.62</v>
      </c>
      <c r="AB9" s="210">
        <v>20.95</v>
      </c>
      <c r="AC9" s="209">
        <v>28.482875</v>
      </c>
      <c r="AD9" s="197"/>
      <c r="AE9" s="94"/>
      <c r="AF9" s="94"/>
      <c r="AG9" s="94"/>
      <c r="AH9" s="94"/>
      <c r="AI9" s="94"/>
    </row>
    <row r="10" spans="1:35" ht="15" customHeight="1">
      <c r="A10" s="169">
        <v>1968</v>
      </c>
      <c r="B10" s="115">
        <f t="shared" si="0"/>
        <v>0</v>
      </c>
      <c r="C10" s="115">
        <f aca="true" t="shared" si="5" ref="C10:M10">+IF(C67-24&lt;0,0,C67-24)</f>
        <v>0</v>
      </c>
      <c r="D10" s="115">
        <f t="shared" si="5"/>
        <v>13.979999999999997</v>
      </c>
      <c r="E10" s="115">
        <f t="shared" si="5"/>
        <v>0</v>
      </c>
      <c r="F10" s="115">
        <f t="shared" si="5"/>
        <v>0</v>
      </c>
      <c r="G10" s="115">
        <f t="shared" si="5"/>
        <v>0</v>
      </c>
      <c r="H10" s="115">
        <f t="shared" si="5"/>
        <v>0</v>
      </c>
      <c r="I10" s="115">
        <f t="shared" si="5"/>
        <v>0</v>
      </c>
      <c r="J10" s="115">
        <f t="shared" si="5"/>
        <v>0</v>
      </c>
      <c r="K10" s="115">
        <f t="shared" si="5"/>
        <v>23.560000000000002</v>
      </c>
      <c r="L10" s="115">
        <f t="shared" si="5"/>
        <v>0</v>
      </c>
      <c r="M10" s="115">
        <f t="shared" si="5"/>
        <v>0</v>
      </c>
      <c r="N10" s="116"/>
      <c r="O10"/>
      <c r="P10" s="157">
        <v>4</v>
      </c>
      <c r="Q10" s="171">
        <f t="shared" si="2"/>
        <v>0.1</v>
      </c>
      <c r="R10" s="209">
        <v>42.99</v>
      </c>
      <c r="S10" s="209">
        <v>67.64651413690471</v>
      </c>
      <c r="T10" s="209">
        <v>86.21497715053765</v>
      </c>
      <c r="U10" s="209">
        <v>95.98</v>
      </c>
      <c r="V10" s="209">
        <v>39.46</v>
      </c>
      <c r="W10" s="211">
        <v>6.75</v>
      </c>
      <c r="X10" s="209">
        <v>0</v>
      </c>
      <c r="Y10" s="210">
        <v>0</v>
      </c>
      <c r="Z10" s="209">
        <v>0</v>
      </c>
      <c r="AA10" s="209">
        <v>25.98</v>
      </c>
      <c r="AB10" s="209">
        <v>20.95</v>
      </c>
      <c r="AC10" s="209">
        <v>27.7</v>
      </c>
      <c r="AD10" s="197"/>
      <c r="AE10" s="94"/>
      <c r="AF10" s="94"/>
      <c r="AG10" s="94"/>
      <c r="AH10" s="94"/>
      <c r="AI10" s="94"/>
    </row>
    <row r="11" spans="1:35" ht="15" customHeight="1">
      <c r="A11" s="169">
        <v>1969</v>
      </c>
      <c r="B11" s="115">
        <f t="shared" si="0"/>
        <v>0</v>
      </c>
      <c r="C11" s="115">
        <f aca="true" t="shared" si="6" ref="C11:M11">+IF(C68-24&lt;0,0,C68-24)</f>
        <v>9.79</v>
      </c>
      <c r="D11" s="115">
        <f t="shared" si="6"/>
        <v>29.200000000000003</v>
      </c>
      <c r="E11" s="115">
        <f t="shared" si="6"/>
        <v>74.57</v>
      </c>
      <c r="F11" s="115">
        <f t="shared" si="6"/>
        <v>3.6900000000000013</v>
      </c>
      <c r="G11" s="115">
        <f t="shared" si="6"/>
        <v>0</v>
      </c>
      <c r="H11" s="115">
        <f t="shared" si="6"/>
        <v>0</v>
      </c>
      <c r="I11" s="115">
        <f t="shared" si="6"/>
        <v>0</v>
      </c>
      <c r="J11" s="115">
        <f t="shared" si="6"/>
        <v>0</v>
      </c>
      <c r="K11" s="115">
        <f t="shared" si="6"/>
        <v>0</v>
      </c>
      <c r="L11" s="115">
        <f t="shared" si="6"/>
        <v>9.899999999999999</v>
      </c>
      <c r="M11" s="115">
        <f t="shared" si="6"/>
        <v>28.909999999999997</v>
      </c>
      <c r="N11" s="116"/>
      <c r="O11"/>
      <c r="P11" s="157">
        <v>5</v>
      </c>
      <c r="Q11" s="171">
        <f t="shared" si="2"/>
        <v>0.125</v>
      </c>
      <c r="R11" s="209">
        <v>37.86</v>
      </c>
      <c r="S11" s="211">
        <v>66.73</v>
      </c>
      <c r="T11" s="209">
        <v>82.02</v>
      </c>
      <c r="U11" s="209">
        <v>84.64</v>
      </c>
      <c r="V11" s="209">
        <v>34.1</v>
      </c>
      <c r="W11" s="209">
        <v>6.15</v>
      </c>
      <c r="X11" s="209">
        <v>0</v>
      </c>
      <c r="Y11" s="211">
        <v>0</v>
      </c>
      <c r="Z11" s="212">
        <v>0</v>
      </c>
      <c r="AA11" s="209">
        <v>23.56</v>
      </c>
      <c r="AB11" s="209">
        <v>16.61</v>
      </c>
      <c r="AC11" s="209">
        <v>22.242175044459607</v>
      </c>
      <c r="AD11" s="197"/>
      <c r="AE11" s="94"/>
      <c r="AF11" s="94"/>
      <c r="AG11" s="94"/>
      <c r="AH11" s="94"/>
      <c r="AI11" s="94"/>
    </row>
    <row r="12" spans="1:35" ht="15" customHeight="1">
      <c r="A12" s="169">
        <v>1970</v>
      </c>
      <c r="B12" s="115">
        <f t="shared" si="0"/>
        <v>18.840000000000003</v>
      </c>
      <c r="C12" s="115">
        <f aca="true" t="shared" si="7" ref="C12:M12">+IF(C69-24&lt;0,0,C69-24)</f>
        <v>0</v>
      </c>
      <c r="D12" s="115">
        <f t="shared" si="7"/>
        <v>21.21</v>
      </c>
      <c r="E12" s="115">
        <f t="shared" si="7"/>
        <v>24.450000000000003</v>
      </c>
      <c r="F12" s="115">
        <f t="shared" si="7"/>
        <v>44.790000000000006</v>
      </c>
      <c r="G12" s="115">
        <f t="shared" si="7"/>
        <v>2.0500000000000007</v>
      </c>
      <c r="H12" s="115">
        <f t="shared" si="7"/>
        <v>0</v>
      </c>
      <c r="I12" s="115">
        <f t="shared" si="7"/>
        <v>0</v>
      </c>
      <c r="J12" s="115">
        <f t="shared" si="7"/>
        <v>0</v>
      </c>
      <c r="K12" s="115">
        <f t="shared" si="7"/>
        <v>17.86</v>
      </c>
      <c r="L12" s="115">
        <f t="shared" si="7"/>
        <v>12.149999999999999</v>
      </c>
      <c r="M12" s="115">
        <f t="shared" si="7"/>
        <v>27.700000000000003</v>
      </c>
      <c r="N12" s="116"/>
      <c r="O12"/>
      <c r="P12" s="157">
        <v>6</v>
      </c>
      <c r="Q12" s="171">
        <f t="shared" si="2"/>
        <v>0.15</v>
      </c>
      <c r="R12" s="209">
        <v>35.32587096774192</v>
      </c>
      <c r="S12" s="209">
        <v>52.45</v>
      </c>
      <c r="T12" s="209">
        <v>75.70008633064518</v>
      </c>
      <c r="U12" s="209">
        <v>80.62</v>
      </c>
      <c r="V12" s="209">
        <v>33.93</v>
      </c>
      <c r="W12" s="209">
        <v>6</v>
      </c>
      <c r="X12" s="210">
        <v>0</v>
      </c>
      <c r="Y12" s="209">
        <v>0</v>
      </c>
      <c r="Z12" s="209">
        <v>0</v>
      </c>
      <c r="AA12" s="209">
        <v>20.31</v>
      </c>
      <c r="AB12" s="209">
        <v>15.15</v>
      </c>
      <c r="AC12" s="209">
        <v>19.47161290322581</v>
      </c>
      <c r="AD12" s="197"/>
      <c r="AE12" s="94"/>
      <c r="AF12" s="94"/>
      <c r="AG12" s="94"/>
      <c r="AH12" s="94"/>
      <c r="AI12" s="94"/>
    </row>
    <row r="13" spans="1:35" ht="15" customHeight="1">
      <c r="A13" s="169">
        <v>1971</v>
      </c>
      <c r="B13" s="115">
        <f t="shared" si="0"/>
        <v>27.009999999999998</v>
      </c>
      <c r="C13" s="115">
        <f aca="true" t="shared" si="8" ref="C13:M13">+IF(C70-24&lt;0,0,C70-24)</f>
        <v>38.2</v>
      </c>
      <c r="D13" s="115">
        <f t="shared" si="8"/>
        <v>82.02</v>
      </c>
      <c r="E13" s="115">
        <f t="shared" si="8"/>
        <v>80.62</v>
      </c>
      <c r="F13" s="115">
        <f t="shared" si="8"/>
        <v>21.909999999999997</v>
      </c>
      <c r="G13" s="115">
        <f t="shared" si="8"/>
        <v>6</v>
      </c>
      <c r="H13" s="115">
        <f t="shared" si="8"/>
        <v>0</v>
      </c>
      <c r="I13" s="115">
        <f t="shared" si="8"/>
        <v>0</v>
      </c>
      <c r="J13" s="115">
        <f t="shared" si="8"/>
        <v>0</v>
      </c>
      <c r="K13" s="115">
        <f t="shared" si="8"/>
        <v>30.32</v>
      </c>
      <c r="L13" s="115">
        <f t="shared" si="8"/>
        <v>15.149999999999999</v>
      </c>
      <c r="M13" s="115">
        <f t="shared" si="8"/>
        <v>17.590000000000003</v>
      </c>
      <c r="N13" s="116"/>
      <c r="O13"/>
      <c r="P13" s="157">
        <v>7</v>
      </c>
      <c r="Q13" s="171">
        <f t="shared" si="2"/>
        <v>0.175</v>
      </c>
      <c r="R13" s="209">
        <v>30.77</v>
      </c>
      <c r="S13" s="209">
        <v>51.46</v>
      </c>
      <c r="T13" s="209">
        <v>74.44</v>
      </c>
      <c r="U13" s="209">
        <v>74.57</v>
      </c>
      <c r="V13" s="209">
        <v>32.15838709677419</v>
      </c>
      <c r="W13" s="210">
        <v>5.14</v>
      </c>
      <c r="X13" s="209">
        <v>0</v>
      </c>
      <c r="Y13" s="209">
        <v>0</v>
      </c>
      <c r="Z13" s="209">
        <v>0</v>
      </c>
      <c r="AA13" s="209">
        <v>18.55</v>
      </c>
      <c r="AB13" s="209">
        <v>14.28</v>
      </c>
      <c r="AC13" s="209">
        <v>17.59</v>
      </c>
      <c r="AD13" s="197"/>
      <c r="AE13" s="94"/>
      <c r="AF13" s="94"/>
      <c r="AG13" s="94"/>
      <c r="AH13" s="94"/>
      <c r="AI13" s="94"/>
    </row>
    <row r="14" spans="1:35" ht="15" customHeight="1">
      <c r="A14" s="169">
        <v>1972</v>
      </c>
      <c r="B14" s="115">
        <f t="shared" si="0"/>
        <v>22.119999999999997</v>
      </c>
      <c r="C14" s="115">
        <f aca="true" t="shared" si="9" ref="C14:M14">+IF(C71-24&lt;0,0,C71-24)</f>
        <v>4.010000000000002</v>
      </c>
      <c r="D14" s="115">
        <f t="shared" si="9"/>
        <v>59.379999999999995</v>
      </c>
      <c r="E14" s="115">
        <f t="shared" si="9"/>
        <v>43.28</v>
      </c>
      <c r="F14" s="115">
        <f t="shared" si="9"/>
        <v>13.11</v>
      </c>
      <c r="G14" s="115">
        <f t="shared" si="9"/>
        <v>0</v>
      </c>
      <c r="H14" s="115">
        <f t="shared" si="9"/>
        <v>0</v>
      </c>
      <c r="I14" s="115">
        <f t="shared" si="9"/>
        <v>0</v>
      </c>
      <c r="J14" s="115">
        <f t="shared" si="9"/>
        <v>0</v>
      </c>
      <c r="K14" s="115">
        <f t="shared" si="9"/>
        <v>0</v>
      </c>
      <c r="L14" s="115">
        <f t="shared" si="9"/>
        <v>0</v>
      </c>
      <c r="M14" s="115">
        <f t="shared" si="9"/>
        <v>2.0100000000000016</v>
      </c>
      <c r="N14" s="116"/>
      <c r="O14"/>
      <c r="P14" s="157">
        <v>8</v>
      </c>
      <c r="Q14" s="171">
        <f t="shared" si="2"/>
        <v>0.2</v>
      </c>
      <c r="R14" s="209">
        <v>29.818524865591392</v>
      </c>
      <c r="S14" s="209">
        <v>50.49</v>
      </c>
      <c r="T14" s="209">
        <v>72.57</v>
      </c>
      <c r="U14" s="209">
        <v>73.94776216959063</v>
      </c>
      <c r="V14" s="209">
        <v>31.236038844086032</v>
      </c>
      <c r="W14" s="210">
        <v>4.6</v>
      </c>
      <c r="X14" s="209">
        <v>0</v>
      </c>
      <c r="Y14" s="210">
        <v>0</v>
      </c>
      <c r="Z14" s="209">
        <v>0</v>
      </c>
      <c r="AA14" s="209">
        <v>17.86</v>
      </c>
      <c r="AB14" s="209">
        <v>12.291774999999994</v>
      </c>
      <c r="AC14" s="209">
        <v>17.3</v>
      </c>
      <c r="AD14" s="197"/>
      <c r="AE14" s="94"/>
      <c r="AF14" s="94"/>
      <c r="AG14" s="94"/>
      <c r="AH14" s="94"/>
      <c r="AI14" s="94"/>
    </row>
    <row r="15" spans="1:35" ht="15" customHeight="1">
      <c r="A15" s="169">
        <v>1973</v>
      </c>
      <c r="B15" s="115">
        <f t="shared" si="0"/>
        <v>5.079999999999998</v>
      </c>
      <c r="C15" s="115">
        <f aca="true" t="shared" si="10" ref="C15:M15">+IF(C72-24&lt;0,0,C72-24)</f>
        <v>3.789999999999999</v>
      </c>
      <c r="D15" s="115">
        <f t="shared" si="10"/>
        <v>28.310000000000002</v>
      </c>
      <c r="E15" s="115">
        <f t="shared" si="10"/>
        <v>111.27000000000001</v>
      </c>
      <c r="F15" s="115">
        <f t="shared" si="10"/>
        <v>26.83</v>
      </c>
      <c r="G15" s="115">
        <f t="shared" si="10"/>
        <v>6.149999999999999</v>
      </c>
      <c r="H15" s="115">
        <f t="shared" si="10"/>
        <v>0</v>
      </c>
      <c r="I15" s="115">
        <f t="shared" si="10"/>
        <v>0</v>
      </c>
      <c r="J15" s="115">
        <f t="shared" si="10"/>
        <v>7.289999999999999</v>
      </c>
      <c r="K15" s="115">
        <f t="shared" si="10"/>
        <v>16.369999999999997</v>
      </c>
      <c r="L15" s="115">
        <f t="shared" si="10"/>
        <v>20.950000000000003</v>
      </c>
      <c r="M15" s="115">
        <f t="shared" si="10"/>
        <v>7.859999999999999</v>
      </c>
      <c r="N15" s="116"/>
      <c r="O15"/>
      <c r="P15" s="157">
        <v>9</v>
      </c>
      <c r="Q15" s="171">
        <f t="shared" si="2"/>
        <v>0.225</v>
      </c>
      <c r="R15" s="210">
        <v>27.01</v>
      </c>
      <c r="S15" s="212">
        <v>49.85</v>
      </c>
      <c r="T15" s="209">
        <v>68.64087096774195</v>
      </c>
      <c r="U15" s="209">
        <v>73.77093055555557</v>
      </c>
      <c r="V15" s="209">
        <v>26.83</v>
      </c>
      <c r="W15" s="210">
        <v>4.590370833333331</v>
      </c>
      <c r="X15" s="209">
        <v>0</v>
      </c>
      <c r="Y15" s="209">
        <v>0</v>
      </c>
      <c r="Z15" s="210">
        <v>0</v>
      </c>
      <c r="AA15" s="209">
        <v>16.37</v>
      </c>
      <c r="AB15" s="209">
        <v>12.15</v>
      </c>
      <c r="AC15" s="209">
        <v>15.386598252688174</v>
      </c>
      <c r="AD15" s="197"/>
      <c r="AE15" s="94"/>
      <c r="AF15" s="94"/>
      <c r="AG15" s="94"/>
      <c r="AH15" s="94"/>
      <c r="AI15" s="94"/>
    </row>
    <row r="16" spans="1:35" ht="15" customHeight="1">
      <c r="A16" s="169">
        <v>1974</v>
      </c>
      <c r="B16" s="115">
        <f t="shared" si="0"/>
        <v>22.990000000000002</v>
      </c>
      <c r="C16" s="115">
        <f aca="true" t="shared" si="11" ref="C16:M16">+IF(C73-24&lt;0,0,C73-24)</f>
        <v>45.75</v>
      </c>
      <c r="D16" s="115">
        <f t="shared" si="11"/>
        <v>28.939999999999998</v>
      </c>
      <c r="E16" s="115">
        <f t="shared" si="11"/>
        <v>15.240000000000002</v>
      </c>
      <c r="F16" s="115">
        <f t="shared" si="11"/>
        <v>6.550000000000001</v>
      </c>
      <c r="G16" s="115">
        <f t="shared" si="11"/>
        <v>0</v>
      </c>
      <c r="H16" s="115">
        <f t="shared" si="11"/>
        <v>0</v>
      </c>
      <c r="I16" s="115">
        <f t="shared" si="11"/>
        <v>0</v>
      </c>
      <c r="J16" s="115">
        <f t="shared" si="11"/>
        <v>0</v>
      </c>
      <c r="K16" s="115">
        <f t="shared" si="11"/>
        <v>25.979999999999997</v>
      </c>
      <c r="L16" s="115">
        <f t="shared" si="11"/>
        <v>5.309999999999999</v>
      </c>
      <c r="M16" s="115">
        <f t="shared" si="11"/>
        <v>8.409999999999997</v>
      </c>
      <c r="N16" s="116"/>
      <c r="O16"/>
      <c r="P16" s="157">
        <v>10</v>
      </c>
      <c r="Q16" s="171">
        <f t="shared" si="2"/>
        <v>0.25</v>
      </c>
      <c r="R16" s="209">
        <v>24.23</v>
      </c>
      <c r="S16" s="210">
        <v>47.43</v>
      </c>
      <c r="T16" s="210">
        <v>65.06555913978495</v>
      </c>
      <c r="U16" s="209">
        <v>69.64</v>
      </c>
      <c r="V16" s="209">
        <v>24.36</v>
      </c>
      <c r="W16" s="209">
        <v>4.41</v>
      </c>
      <c r="X16" s="209">
        <v>0</v>
      </c>
      <c r="Y16" s="209">
        <v>0</v>
      </c>
      <c r="Z16" s="209">
        <v>0</v>
      </c>
      <c r="AA16" s="209">
        <v>12.47</v>
      </c>
      <c r="AB16" s="209">
        <v>11.91</v>
      </c>
      <c r="AC16" s="209">
        <v>13.32</v>
      </c>
      <c r="AD16" s="197"/>
      <c r="AE16" s="94"/>
      <c r="AF16" s="94"/>
      <c r="AG16" s="94"/>
      <c r="AH16" s="94"/>
      <c r="AI16" s="94"/>
    </row>
    <row r="17" spans="1:35" ht="15" customHeight="1">
      <c r="A17" s="169">
        <v>1975</v>
      </c>
      <c r="B17" s="115">
        <f t="shared" si="0"/>
        <v>37.86</v>
      </c>
      <c r="C17" s="115">
        <f aca="true" t="shared" si="12" ref="C17:M17">+IF(C74-24&lt;0,0,C74-24)</f>
        <v>51.459999999999994</v>
      </c>
      <c r="D17" s="115">
        <f t="shared" si="12"/>
        <v>87.58</v>
      </c>
      <c r="E17" s="115">
        <f t="shared" si="12"/>
        <v>95.98</v>
      </c>
      <c r="F17" s="115">
        <f t="shared" si="12"/>
        <v>33.93</v>
      </c>
      <c r="G17" s="115">
        <f t="shared" si="12"/>
        <v>7.199999999999999</v>
      </c>
      <c r="H17" s="115">
        <f t="shared" si="12"/>
        <v>0</v>
      </c>
      <c r="I17" s="115">
        <f t="shared" si="12"/>
        <v>0</v>
      </c>
      <c r="J17" s="115">
        <f t="shared" si="12"/>
        <v>2.59</v>
      </c>
      <c r="K17" s="115">
        <f t="shared" si="12"/>
        <v>40.129999999999995</v>
      </c>
      <c r="L17" s="115">
        <f t="shared" si="12"/>
        <v>8.549999999999997</v>
      </c>
      <c r="M17" s="115">
        <f t="shared" si="12"/>
        <v>0</v>
      </c>
      <c r="N17" s="116"/>
      <c r="O17"/>
      <c r="P17" s="157">
        <v>11</v>
      </c>
      <c r="Q17" s="171">
        <f t="shared" si="2"/>
        <v>0.275</v>
      </c>
      <c r="R17" s="209">
        <v>22.99</v>
      </c>
      <c r="S17" s="209">
        <v>45.75</v>
      </c>
      <c r="T17" s="209">
        <v>62.25</v>
      </c>
      <c r="U17" s="209">
        <v>67.4</v>
      </c>
      <c r="V17" s="209">
        <v>23.21</v>
      </c>
      <c r="W17" s="209">
        <v>2.05</v>
      </c>
      <c r="X17" s="209">
        <v>0</v>
      </c>
      <c r="Y17" s="210">
        <v>0</v>
      </c>
      <c r="Z17" s="209">
        <v>0</v>
      </c>
      <c r="AA17" s="210">
        <v>8.79</v>
      </c>
      <c r="AB17" s="209">
        <v>11.82</v>
      </c>
      <c r="AC17" s="209">
        <v>12.06</v>
      </c>
      <c r="AD17" s="197"/>
      <c r="AE17" s="94"/>
      <c r="AF17" s="94"/>
      <c r="AG17" s="94"/>
      <c r="AH17" s="94"/>
      <c r="AI17" s="94"/>
    </row>
    <row r="18" spans="1:35" ht="15" customHeight="1">
      <c r="A18" s="169">
        <v>1976</v>
      </c>
      <c r="B18" s="115">
        <f t="shared" si="0"/>
        <v>21.369999999999997</v>
      </c>
      <c r="C18" s="115">
        <f aca="true" t="shared" si="13" ref="C18:M18">+IF(C75-24&lt;0,0,C75-24)</f>
        <v>29.979999999999997</v>
      </c>
      <c r="D18" s="115">
        <f t="shared" si="13"/>
        <v>37.39</v>
      </c>
      <c r="E18" s="115">
        <f t="shared" si="13"/>
        <v>45.68000000000001</v>
      </c>
      <c r="F18" s="115">
        <f t="shared" si="13"/>
        <v>12.590000000000003</v>
      </c>
      <c r="G18" s="115">
        <f t="shared" si="13"/>
        <v>4.600000000000001</v>
      </c>
      <c r="H18" s="115">
        <f t="shared" si="13"/>
        <v>0</v>
      </c>
      <c r="I18" s="115">
        <f t="shared" si="13"/>
        <v>0</v>
      </c>
      <c r="J18" s="115">
        <f t="shared" si="13"/>
        <v>0</v>
      </c>
      <c r="K18" s="115">
        <f t="shared" si="13"/>
        <v>0</v>
      </c>
      <c r="L18" s="115">
        <f t="shared" si="13"/>
        <v>0</v>
      </c>
      <c r="M18" s="115">
        <f t="shared" si="13"/>
        <v>0</v>
      </c>
      <c r="N18" s="116"/>
      <c r="O18"/>
      <c r="P18" s="157">
        <v>12</v>
      </c>
      <c r="Q18" s="171">
        <f t="shared" si="2"/>
        <v>0.3</v>
      </c>
      <c r="R18" s="210">
        <v>22.12</v>
      </c>
      <c r="S18" s="210">
        <v>43.9</v>
      </c>
      <c r="T18" s="209">
        <v>60.86</v>
      </c>
      <c r="U18" s="210">
        <v>65.93</v>
      </c>
      <c r="V18" s="211">
        <v>21.91</v>
      </c>
      <c r="W18" s="210">
        <v>1.46</v>
      </c>
      <c r="X18" s="209">
        <v>0</v>
      </c>
      <c r="Y18" s="210">
        <v>0</v>
      </c>
      <c r="Z18" s="209">
        <v>0</v>
      </c>
      <c r="AA18" s="209">
        <v>8.472270161290318</v>
      </c>
      <c r="AB18" s="211">
        <v>11.13</v>
      </c>
      <c r="AC18" s="209">
        <v>12.017468413978499</v>
      </c>
      <c r="AD18" s="197"/>
      <c r="AE18" s="94"/>
      <c r="AF18" s="94"/>
      <c r="AG18" s="94"/>
      <c r="AH18" s="94"/>
      <c r="AI18" s="94"/>
    </row>
    <row r="19" spans="1:35" ht="15" customHeight="1">
      <c r="A19" s="169">
        <v>1977</v>
      </c>
      <c r="B19" s="115">
        <f t="shared" si="0"/>
        <v>6.77</v>
      </c>
      <c r="C19" s="115">
        <f aca="true" t="shared" si="14" ref="C19:M19">+IF(C76-24&lt;0,0,C76-24)</f>
        <v>66.73</v>
      </c>
      <c r="D19" s="115">
        <f t="shared" si="14"/>
        <v>42.83</v>
      </c>
      <c r="E19" s="115">
        <f t="shared" si="14"/>
        <v>38.84</v>
      </c>
      <c r="F19" s="115">
        <f t="shared" si="14"/>
        <v>13.329999999999998</v>
      </c>
      <c r="G19" s="115">
        <f t="shared" si="14"/>
        <v>0</v>
      </c>
      <c r="H19" s="115">
        <f t="shared" si="14"/>
        <v>0</v>
      </c>
      <c r="I19" s="115">
        <f t="shared" si="14"/>
        <v>0</v>
      </c>
      <c r="J19" s="115">
        <f t="shared" si="14"/>
        <v>0</v>
      </c>
      <c r="K19" s="115">
        <f t="shared" si="14"/>
        <v>0</v>
      </c>
      <c r="L19" s="115">
        <f t="shared" si="14"/>
        <v>0</v>
      </c>
      <c r="M19" s="115">
        <f t="shared" si="14"/>
        <v>5.829999999999998</v>
      </c>
      <c r="N19" s="116"/>
      <c r="O19"/>
      <c r="P19" s="157">
        <v>13</v>
      </c>
      <c r="Q19" s="171">
        <f t="shared" si="2"/>
        <v>0.325</v>
      </c>
      <c r="R19" s="209">
        <v>21.37</v>
      </c>
      <c r="S19" s="209">
        <v>40.95892857142856</v>
      </c>
      <c r="T19" s="210">
        <v>59.38</v>
      </c>
      <c r="U19" s="209">
        <v>62.05189722222222</v>
      </c>
      <c r="V19" s="209">
        <v>20.41</v>
      </c>
      <c r="W19" s="209">
        <v>0</v>
      </c>
      <c r="X19" s="209">
        <v>0</v>
      </c>
      <c r="Y19" s="209">
        <v>0</v>
      </c>
      <c r="Z19" s="209">
        <v>0</v>
      </c>
      <c r="AA19" s="209">
        <v>5.34</v>
      </c>
      <c r="AB19" s="209">
        <v>9.9</v>
      </c>
      <c r="AC19" s="209">
        <v>10.63</v>
      </c>
      <c r="AD19" s="197"/>
      <c r="AE19" s="94"/>
      <c r="AF19" s="94"/>
      <c r="AG19" s="94"/>
      <c r="AH19" s="94"/>
      <c r="AI19" s="94"/>
    </row>
    <row r="20" spans="1:35" ht="15" customHeight="1">
      <c r="A20" s="169">
        <v>1978</v>
      </c>
      <c r="B20" s="115">
        <f t="shared" si="0"/>
        <v>0</v>
      </c>
      <c r="C20" s="115">
        <f aca="true" t="shared" si="15" ref="C20:M20">+IF(C77-24&lt;0,0,C77-24)</f>
        <v>0</v>
      </c>
      <c r="D20" s="115">
        <f t="shared" si="15"/>
        <v>6.649999999999999</v>
      </c>
      <c r="E20" s="115">
        <f t="shared" si="15"/>
        <v>13.439999999999998</v>
      </c>
      <c r="F20" s="115">
        <f t="shared" si="15"/>
        <v>20.409999999999997</v>
      </c>
      <c r="G20" s="115">
        <f t="shared" si="15"/>
        <v>0</v>
      </c>
      <c r="H20" s="115">
        <f t="shared" si="15"/>
        <v>0</v>
      </c>
      <c r="I20" s="115">
        <f t="shared" si="15"/>
        <v>0</v>
      </c>
      <c r="J20" s="115">
        <f t="shared" si="15"/>
        <v>0</v>
      </c>
      <c r="K20" s="115">
        <f t="shared" si="15"/>
        <v>0</v>
      </c>
      <c r="L20" s="115">
        <f t="shared" si="15"/>
        <v>0</v>
      </c>
      <c r="M20" s="115">
        <f t="shared" si="15"/>
        <v>0</v>
      </c>
      <c r="N20" s="116"/>
      <c r="O20"/>
      <c r="P20" s="157">
        <v>14</v>
      </c>
      <c r="Q20" s="171">
        <f t="shared" si="2"/>
        <v>0.35</v>
      </c>
      <c r="R20" s="209">
        <v>19.31</v>
      </c>
      <c r="S20" s="210">
        <v>40.36</v>
      </c>
      <c r="T20" s="209">
        <v>57.1</v>
      </c>
      <c r="U20" s="209">
        <v>59.076991196504494</v>
      </c>
      <c r="V20" s="209">
        <v>19.04</v>
      </c>
      <c r="W20" s="209">
        <v>0</v>
      </c>
      <c r="X20" s="209">
        <v>0</v>
      </c>
      <c r="Y20" s="209">
        <v>0</v>
      </c>
      <c r="Z20" s="209">
        <v>0</v>
      </c>
      <c r="AA20" s="209">
        <v>5.28</v>
      </c>
      <c r="AB20" s="209">
        <v>8.55</v>
      </c>
      <c r="AC20" s="209">
        <v>10.15</v>
      </c>
      <c r="AD20" s="197"/>
      <c r="AE20" s="94"/>
      <c r="AF20" s="94"/>
      <c r="AG20" s="94"/>
      <c r="AH20" s="94"/>
      <c r="AI20" s="94"/>
    </row>
    <row r="21" spans="1:35" ht="15" customHeight="1">
      <c r="A21" s="169">
        <v>1979</v>
      </c>
      <c r="B21" s="115">
        <f t="shared" si="0"/>
        <v>4.469999999999999</v>
      </c>
      <c r="C21" s="115">
        <f aca="true" t="shared" si="16" ref="C21:M21">+IF(C78-24&lt;0,0,C78-24)</f>
        <v>0</v>
      </c>
      <c r="D21" s="115">
        <f t="shared" si="16"/>
        <v>57.099999999999994</v>
      </c>
      <c r="E21" s="115">
        <f t="shared" si="16"/>
        <v>26.990000000000002</v>
      </c>
      <c r="F21" s="115">
        <f t="shared" si="16"/>
        <v>12.89</v>
      </c>
      <c r="G21" s="115">
        <f t="shared" si="16"/>
        <v>0</v>
      </c>
      <c r="H21" s="115">
        <f t="shared" si="16"/>
        <v>0</v>
      </c>
      <c r="I21" s="115">
        <f t="shared" si="16"/>
        <v>0</v>
      </c>
      <c r="J21" s="115">
        <f t="shared" si="16"/>
        <v>0</v>
      </c>
      <c r="K21" s="115">
        <f t="shared" si="16"/>
        <v>0</v>
      </c>
      <c r="L21" s="115">
        <f t="shared" si="16"/>
        <v>0</v>
      </c>
      <c r="M21" s="115">
        <f t="shared" si="16"/>
        <v>0</v>
      </c>
      <c r="N21" s="116"/>
      <c r="O21"/>
      <c r="P21" s="157">
        <v>15</v>
      </c>
      <c r="Q21" s="171">
        <f t="shared" si="2"/>
        <v>0.375</v>
      </c>
      <c r="R21" s="211">
        <v>18.84</v>
      </c>
      <c r="S21" s="209">
        <v>38.2</v>
      </c>
      <c r="T21" s="212">
        <v>55.15</v>
      </c>
      <c r="U21" s="209">
        <v>52.04466666666667</v>
      </c>
      <c r="V21" s="209">
        <v>17.12</v>
      </c>
      <c r="W21" s="209">
        <v>0</v>
      </c>
      <c r="X21" s="209">
        <v>0</v>
      </c>
      <c r="Y21" s="209">
        <v>0</v>
      </c>
      <c r="Z21" s="209">
        <v>0</v>
      </c>
      <c r="AA21" s="211">
        <v>3.69</v>
      </c>
      <c r="AB21" s="209">
        <v>6.65</v>
      </c>
      <c r="AC21" s="209">
        <v>8.70671706989247</v>
      </c>
      <c r="AD21" s="197"/>
      <c r="AE21" s="94"/>
      <c r="AF21" s="94"/>
      <c r="AG21" s="94"/>
      <c r="AH21" s="94"/>
      <c r="AI21" s="94"/>
    </row>
    <row r="22" spans="1:35" ht="15" customHeight="1">
      <c r="A22" s="169">
        <v>1980</v>
      </c>
      <c r="B22" s="115">
        <f t="shared" si="0"/>
        <v>0</v>
      </c>
      <c r="C22" s="115">
        <f aca="true" t="shared" si="17" ref="C22:M22">+IF(C79-24&lt;0,0,C79-24)</f>
        <v>0</v>
      </c>
      <c r="D22" s="115">
        <f t="shared" si="17"/>
        <v>5.379999999999999</v>
      </c>
      <c r="E22" s="115">
        <f t="shared" si="17"/>
        <v>4.059999999999999</v>
      </c>
      <c r="F22" s="115">
        <f t="shared" si="17"/>
        <v>0</v>
      </c>
      <c r="G22" s="115">
        <f t="shared" si="17"/>
        <v>0</v>
      </c>
      <c r="H22" s="115">
        <f t="shared" si="17"/>
        <v>0</v>
      </c>
      <c r="I22" s="115">
        <f t="shared" si="17"/>
        <v>0</v>
      </c>
      <c r="J22" s="115">
        <f t="shared" si="17"/>
        <v>0</v>
      </c>
      <c r="K22" s="115">
        <f t="shared" si="17"/>
        <v>5.280000000000001</v>
      </c>
      <c r="L22" s="115">
        <f t="shared" si="17"/>
        <v>16.61</v>
      </c>
      <c r="M22" s="115">
        <f t="shared" si="17"/>
        <v>13.32</v>
      </c>
      <c r="N22" s="116"/>
      <c r="O22"/>
      <c r="P22" s="157">
        <v>16</v>
      </c>
      <c r="Q22" s="171">
        <f t="shared" si="2"/>
        <v>0.4</v>
      </c>
      <c r="R22" s="210">
        <v>12.98</v>
      </c>
      <c r="S22" s="209">
        <v>34.53137931034482</v>
      </c>
      <c r="T22" s="209">
        <v>51.53</v>
      </c>
      <c r="U22" s="211">
        <v>49.18</v>
      </c>
      <c r="V22" s="210">
        <v>14.705831609396903</v>
      </c>
      <c r="W22" s="209">
        <v>0</v>
      </c>
      <c r="X22" s="209">
        <v>0</v>
      </c>
      <c r="Y22" s="209">
        <v>0</v>
      </c>
      <c r="Z22" s="209">
        <v>0</v>
      </c>
      <c r="AA22" s="209">
        <v>3.21</v>
      </c>
      <c r="AB22" s="209">
        <v>5.63</v>
      </c>
      <c r="AC22" s="209">
        <v>8.41</v>
      </c>
      <c r="AD22" s="197"/>
      <c r="AE22" s="94"/>
      <c r="AF22" s="94"/>
      <c r="AG22" s="94"/>
      <c r="AH22" s="94"/>
      <c r="AI22" s="94"/>
    </row>
    <row r="23" spans="1:35" ht="15" customHeight="1">
      <c r="A23" s="169">
        <v>1981</v>
      </c>
      <c r="B23" s="115">
        <f t="shared" si="0"/>
        <v>0</v>
      </c>
      <c r="C23" s="115">
        <f aca="true" t="shared" si="18" ref="C23:M23">+IF(C80-24&lt;0,0,C80-24)</f>
        <v>47.43000000000001</v>
      </c>
      <c r="D23" s="115">
        <f t="shared" si="18"/>
        <v>29.189999999999998</v>
      </c>
      <c r="E23" s="115">
        <f t="shared" si="18"/>
        <v>23.57</v>
      </c>
      <c r="F23" s="115">
        <f t="shared" si="18"/>
        <v>0</v>
      </c>
      <c r="G23" s="115">
        <f t="shared" si="18"/>
        <v>0</v>
      </c>
      <c r="H23" s="115">
        <f t="shared" si="18"/>
        <v>0</v>
      </c>
      <c r="I23" s="115">
        <f t="shared" si="18"/>
        <v>0</v>
      </c>
      <c r="J23" s="115">
        <f t="shared" si="18"/>
        <v>0</v>
      </c>
      <c r="K23" s="115">
        <f t="shared" si="18"/>
        <v>1.2600000000000016</v>
      </c>
      <c r="L23" s="115">
        <f t="shared" si="18"/>
        <v>5.629999999999999</v>
      </c>
      <c r="M23" s="115">
        <f t="shared" si="18"/>
        <v>10.149999999999999</v>
      </c>
      <c r="N23" s="116"/>
      <c r="O23"/>
      <c r="P23" s="157">
        <v>17</v>
      </c>
      <c r="Q23" s="171">
        <f t="shared" si="2"/>
        <v>0.425</v>
      </c>
      <c r="R23" s="210">
        <v>10.74</v>
      </c>
      <c r="S23" s="209">
        <v>32.135559523809526</v>
      </c>
      <c r="T23" s="209">
        <v>42.83</v>
      </c>
      <c r="U23" s="209">
        <v>45.68</v>
      </c>
      <c r="V23" s="209">
        <v>14.09</v>
      </c>
      <c r="W23" s="210">
        <v>0</v>
      </c>
      <c r="X23" s="209">
        <v>0</v>
      </c>
      <c r="Y23" s="209">
        <v>0</v>
      </c>
      <c r="Z23" s="209">
        <v>0</v>
      </c>
      <c r="AA23" s="211">
        <v>3.0313156130470666</v>
      </c>
      <c r="AB23" s="209">
        <v>5.6</v>
      </c>
      <c r="AC23" s="209">
        <v>8.16</v>
      </c>
      <c r="AD23" s="197"/>
      <c r="AE23" s="94"/>
      <c r="AF23" s="94"/>
      <c r="AG23" s="94"/>
      <c r="AH23" s="94"/>
      <c r="AI23" s="94"/>
    </row>
    <row r="24" spans="1:35" ht="15" customHeight="1">
      <c r="A24" s="169">
        <v>1982</v>
      </c>
      <c r="B24" s="115">
        <f t="shared" si="0"/>
        <v>1.9899999999999984</v>
      </c>
      <c r="C24" s="115">
        <f aca="true" t="shared" si="19" ref="C24:M24">+IF(C81-24&lt;0,0,C81-24)</f>
        <v>15.420000000000002</v>
      </c>
      <c r="D24" s="115">
        <f t="shared" si="19"/>
        <v>8.950000000000003</v>
      </c>
      <c r="E24" s="115">
        <f t="shared" si="19"/>
        <v>29.08</v>
      </c>
      <c r="F24" s="115">
        <f t="shared" si="19"/>
        <v>19.04</v>
      </c>
      <c r="G24" s="115">
        <f t="shared" si="19"/>
        <v>0</v>
      </c>
      <c r="H24" s="115">
        <f t="shared" si="19"/>
        <v>0</v>
      </c>
      <c r="I24" s="115">
        <f t="shared" si="19"/>
        <v>0</v>
      </c>
      <c r="J24" s="115">
        <f t="shared" si="19"/>
        <v>0</v>
      </c>
      <c r="K24" s="115">
        <f t="shared" si="19"/>
        <v>20.310000000000002</v>
      </c>
      <c r="L24" s="115">
        <f t="shared" si="19"/>
        <v>11.909999999999997</v>
      </c>
      <c r="M24" s="115">
        <f t="shared" si="19"/>
        <v>47.5</v>
      </c>
      <c r="N24" s="116"/>
      <c r="O24"/>
      <c r="P24" s="157">
        <v>18</v>
      </c>
      <c r="Q24" s="171">
        <f t="shared" si="2"/>
        <v>0.45</v>
      </c>
      <c r="R24" s="209">
        <v>9.760455309139822</v>
      </c>
      <c r="S24" s="209">
        <v>29.98</v>
      </c>
      <c r="T24" s="210">
        <v>40.18</v>
      </c>
      <c r="U24" s="211">
        <v>44.69</v>
      </c>
      <c r="V24" s="210">
        <v>13.61</v>
      </c>
      <c r="W24" s="209">
        <v>0</v>
      </c>
      <c r="X24" s="210">
        <v>0</v>
      </c>
      <c r="Y24" s="209">
        <v>0</v>
      </c>
      <c r="Z24" s="209">
        <v>0</v>
      </c>
      <c r="AA24" s="210">
        <v>1.26</v>
      </c>
      <c r="AB24" s="209">
        <v>5.31</v>
      </c>
      <c r="AC24" s="209">
        <v>7.86</v>
      </c>
      <c r="AD24" s="197"/>
      <c r="AE24" s="94"/>
      <c r="AF24" s="94"/>
      <c r="AG24" s="94"/>
      <c r="AH24" s="94"/>
      <c r="AI24" s="94"/>
    </row>
    <row r="25" spans="1:35" ht="15" customHeight="1">
      <c r="A25" s="169">
        <v>1983</v>
      </c>
      <c r="B25" s="115">
        <f t="shared" si="0"/>
        <v>52.870000000000005</v>
      </c>
      <c r="C25" s="115">
        <f aca="true" t="shared" si="20" ref="C25:M25">+IF(C82-24&lt;0,0,C82-24)</f>
        <v>17.15</v>
      </c>
      <c r="D25" s="115">
        <f t="shared" si="20"/>
        <v>55.150000000000006</v>
      </c>
      <c r="E25" s="115">
        <f t="shared" si="20"/>
        <v>84.64</v>
      </c>
      <c r="F25" s="115">
        <f t="shared" si="20"/>
        <v>44.879999999999995</v>
      </c>
      <c r="G25" s="115">
        <f t="shared" si="20"/>
        <v>6.75</v>
      </c>
      <c r="H25" s="115">
        <f t="shared" si="20"/>
        <v>0</v>
      </c>
      <c r="I25" s="115">
        <f t="shared" si="20"/>
        <v>0</v>
      </c>
      <c r="J25" s="115">
        <f t="shared" si="20"/>
        <v>0</v>
      </c>
      <c r="K25" s="115">
        <f t="shared" si="20"/>
        <v>0</v>
      </c>
      <c r="L25" s="115">
        <f t="shared" si="20"/>
        <v>0</v>
      </c>
      <c r="M25" s="115">
        <f t="shared" si="20"/>
        <v>8.159999999999997</v>
      </c>
      <c r="N25" s="116"/>
      <c r="O25"/>
      <c r="P25" s="157">
        <v>19</v>
      </c>
      <c r="Q25" s="171">
        <f t="shared" si="2"/>
        <v>0.475</v>
      </c>
      <c r="R25" s="209">
        <v>6.77</v>
      </c>
      <c r="S25" s="209">
        <v>28.41513534482759</v>
      </c>
      <c r="T25" s="209">
        <v>38.806451612903224</v>
      </c>
      <c r="U25" s="209">
        <v>44.19</v>
      </c>
      <c r="V25" s="209">
        <v>13.33</v>
      </c>
      <c r="W25" s="210">
        <v>0</v>
      </c>
      <c r="X25" s="209">
        <v>0</v>
      </c>
      <c r="Y25" s="210">
        <v>0</v>
      </c>
      <c r="Z25" s="209">
        <v>0</v>
      </c>
      <c r="AA25" s="209">
        <v>0.6999999999999993</v>
      </c>
      <c r="AB25" s="209">
        <v>4.203989027777784</v>
      </c>
      <c r="AC25" s="209">
        <v>7.65</v>
      </c>
      <c r="AD25" s="197"/>
      <c r="AE25" s="94"/>
      <c r="AF25" s="94"/>
      <c r="AG25" s="94"/>
      <c r="AH25" s="94"/>
      <c r="AI25" s="94"/>
    </row>
    <row r="26" spans="1:35" ht="15" customHeight="1">
      <c r="A26" s="169">
        <v>1984</v>
      </c>
      <c r="B26" s="115">
        <f t="shared" si="0"/>
        <v>0</v>
      </c>
      <c r="C26" s="115">
        <f aca="true" t="shared" si="21" ref="C26:M26">+IF(C83-24&lt;0,0,C83-24)</f>
        <v>86.99</v>
      </c>
      <c r="D26" s="115">
        <f t="shared" si="21"/>
        <v>62.25</v>
      </c>
      <c r="E26" s="115">
        <f t="shared" si="21"/>
        <v>44.19</v>
      </c>
      <c r="F26" s="115">
        <f t="shared" si="21"/>
        <v>39.46</v>
      </c>
      <c r="G26" s="115">
        <f t="shared" si="21"/>
        <v>4.41</v>
      </c>
      <c r="H26" s="115">
        <f t="shared" si="21"/>
        <v>0</v>
      </c>
      <c r="I26" s="115">
        <f t="shared" si="21"/>
        <v>0</v>
      </c>
      <c r="J26" s="115">
        <f t="shared" si="21"/>
        <v>0</v>
      </c>
      <c r="K26" s="115">
        <f t="shared" si="21"/>
        <v>26.619999999999997</v>
      </c>
      <c r="L26" s="115">
        <f t="shared" si="21"/>
        <v>0</v>
      </c>
      <c r="M26" s="115">
        <f t="shared" si="21"/>
        <v>2.370000000000001</v>
      </c>
      <c r="N26" s="116"/>
      <c r="O26"/>
      <c r="P26" s="157">
        <v>20</v>
      </c>
      <c r="Q26" s="171">
        <f t="shared" si="2"/>
        <v>0.5</v>
      </c>
      <c r="R26" s="209">
        <v>5.08</v>
      </c>
      <c r="S26" s="209">
        <v>22.48</v>
      </c>
      <c r="T26" s="209">
        <v>37.39</v>
      </c>
      <c r="U26" s="210">
        <v>43.28</v>
      </c>
      <c r="V26" s="212">
        <v>13.11</v>
      </c>
      <c r="W26" s="209">
        <v>0</v>
      </c>
      <c r="X26" s="209">
        <v>0</v>
      </c>
      <c r="Y26" s="209">
        <v>0</v>
      </c>
      <c r="Z26" s="209">
        <v>0</v>
      </c>
      <c r="AA26" s="209">
        <v>0</v>
      </c>
      <c r="AB26" s="209">
        <v>1.89</v>
      </c>
      <c r="AC26" s="209">
        <v>5.83</v>
      </c>
      <c r="AD26" s="197"/>
      <c r="AE26" s="94"/>
      <c r="AF26" s="94"/>
      <c r="AG26" s="94"/>
      <c r="AH26" s="94"/>
      <c r="AI26" s="94"/>
    </row>
    <row r="27" spans="1:35" ht="15" customHeight="1">
      <c r="A27" s="169">
        <v>1985</v>
      </c>
      <c r="B27" s="115">
        <f t="shared" si="0"/>
        <v>0</v>
      </c>
      <c r="C27" s="115">
        <f aca="true" t="shared" si="22" ref="C27:M27">+IF(C84-24&lt;0,0,C84-24)</f>
        <v>0</v>
      </c>
      <c r="D27" s="115">
        <f t="shared" si="22"/>
        <v>6.510000000000002</v>
      </c>
      <c r="E27" s="115">
        <f t="shared" si="22"/>
        <v>0</v>
      </c>
      <c r="F27" s="115">
        <f t="shared" si="22"/>
        <v>0</v>
      </c>
      <c r="G27" s="115">
        <f t="shared" si="22"/>
        <v>0</v>
      </c>
      <c r="H27" s="115">
        <f t="shared" si="22"/>
        <v>0</v>
      </c>
      <c r="I27" s="115">
        <f t="shared" si="22"/>
        <v>0</v>
      </c>
      <c r="J27" s="115">
        <f t="shared" si="22"/>
        <v>0</v>
      </c>
      <c r="K27" s="115">
        <f t="shared" si="22"/>
        <v>0</v>
      </c>
      <c r="L27" s="115">
        <f t="shared" si="22"/>
        <v>0</v>
      </c>
      <c r="M27" s="115">
        <f t="shared" si="22"/>
        <v>0</v>
      </c>
      <c r="N27" s="116"/>
      <c r="O27"/>
      <c r="P27" s="157">
        <v>21</v>
      </c>
      <c r="Q27" s="171">
        <f t="shared" si="2"/>
        <v>0.525</v>
      </c>
      <c r="R27" s="209">
        <v>4.47</v>
      </c>
      <c r="S27" s="209">
        <v>22.30099925595239</v>
      </c>
      <c r="T27" s="209">
        <v>34.62</v>
      </c>
      <c r="U27" s="210">
        <v>38.84</v>
      </c>
      <c r="V27" s="209">
        <v>12.900909206989247</v>
      </c>
      <c r="W27" s="209">
        <v>0</v>
      </c>
      <c r="X27" s="209">
        <v>0</v>
      </c>
      <c r="Y27" s="209">
        <v>0</v>
      </c>
      <c r="Z27" s="209">
        <v>0</v>
      </c>
      <c r="AA27" s="209">
        <v>0</v>
      </c>
      <c r="AB27" s="209">
        <v>0</v>
      </c>
      <c r="AC27" s="209">
        <v>3.6834653294863315</v>
      </c>
      <c r="AD27" s="197"/>
      <c r="AE27" s="94"/>
      <c r="AF27" s="94"/>
      <c r="AG27" s="94"/>
      <c r="AH27" s="94"/>
      <c r="AI27" s="94"/>
    </row>
    <row r="28" spans="1:35" ht="15" customHeight="1">
      <c r="A28" s="169">
        <v>1986</v>
      </c>
      <c r="B28" s="115">
        <f t="shared" si="0"/>
        <v>10.740000000000002</v>
      </c>
      <c r="C28" s="115">
        <f aca="true" t="shared" si="23" ref="C28:M28">+IF(C85-24&lt;0,0,C85-24)</f>
        <v>18.020000000000003</v>
      </c>
      <c r="D28" s="115">
        <f t="shared" si="23"/>
        <v>10.020000000000003</v>
      </c>
      <c r="E28" s="115">
        <f t="shared" si="23"/>
        <v>65.93</v>
      </c>
      <c r="F28" s="115">
        <f t="shared" si="23"/>
        <v>23.21</v>
      </c>
      <c r="G28" s="115">
        <f t="shared" si="23"/>
        <v>0</v>
      </c>
      <c r="H28" s="115">
        <f t="shared" si="23"/>
        <v>0</v>
      </c>
      <c r="I28" s="115">
        <f t="shared" si="23"/>
        <v>0</v>
      </c>
      <c r="J28" s="115">
        <f t="shared" si="23"/>
        <v>0</v>
      </c>
      <c r="K28" s="115">
        <f t="shared" si="23"/>
        <v>0</v>
      </c>
      <c r="L28" s="115">
        <f t="shared" si="23"/>
        <v>11.82</v>
      </c>
      <c r="M28" s="115">
        <f t="shared" si="23"/>
        <v>7.649999999999999</v>
      </c>
      <c r="N28" s="116"/>
      <c r="O28"/>
      <c r="P28" s="157">
        <v>22</v>
      </c>
      <c r="Q28" s="171">
        <f t="shared" si="2"/>
        <v>0.55</v>
      </c>
      <c r="R28" s="209">
        <v>2.0102237903225806</v>
      </c>
      <c r="S28" s="209">
        <v>22.18</v>
      </c>
      <c r="T28" s="210">
        <v>33.54</v>
      </c>
      <c r="U28" s="209">
        <v>37.10776308333333</v>
      </c>
      <c r="V28" s="209">
        <v>12.89</v>
      </c>
      <c r="W28" s="209">
        <v>0</v>
      </c>
      <c r="X28" s="210">
        <v>0</v>
      </c>
      <c r="Y28" s="209">
        <v>0</v>
      </c>
      <c r="Z28" s="209">
        <v>0</v>
      </c>
      <c r="AA28" s="212">
        <v>0</v>
      </c>
      <c r="AB28" s="209">
        <v>0</v>
      </c>
      <c r="AC28" s="209">
        <v>2.37</v>
      </c>
      <c r="AD28" s="197"/>
      <c r="AE28" s="94"/>
      <c r="AF28" s="94"/>
      <c r="AG28" s="94"/>
      <c r="AH28" s="94"/>
      <c r="AI28" s="94"/>
    </row>
    <row r="29" spans="1:35" ht="15" customHeight="1">
      <c r="A29" s="169">
        <v>1987</v>
      </c>
      <c r="B29" s="115">
        <f t="shared" si="0"/>
        <v>59.56999999999999</v>
      </c>
      <c r="C29" s="115">
        <f aca="true" t="shared" si="24" ref="C29:M29">+IF(C86-24&lt;0,0,C86-24)</f>
        <v>43.900000000000006</v>
      </c>
      <c r="D29" s="115">
        <f t="shared" si="24"/>
        <v>15.719999999999999</v>
      </c>
      <c r="E29" s="115">
        <f t="shared" si="24"/>
        <v>5.370000000000001</v>
      </c>
      <c r="F29" s="115">
        <f t="shared" si="24"/>
        <v>4.699999999999999</v>
      </c>
      <c r="G29" s="115">
        <f t="shared" si="24"/>
        <v>0</v>
      </c>
      <c r="H29" s="115">
        <f t="shared" si="24"/>
        <v>0</v>
      </c>
      <c r="I29" s="115">
        <f t="shared" si="24"/>
        <v>0</v>
      </c>
      <c r="J29" s="115">
        <f t="shared" si="24"/>
        <v>0</v>
      </c>
      <c r="K29" s="115">
        <f t="shared" si="24"/>
        <v>0</v>
      </c>
      <c r="L29" s="115">
        <f t="shared" si="24"/>
        <v>0</v>
      </c>
      <c r="M29" s="115">
        <f t="shared" si="24"/>
        <v>0</v>
      </c>
      <c r="N29" s="116"/>
      <c r="O29"/>
      <c r="P29" s="157">
        <v>23</v>
      </c>
      <c r="Q29" s="171">
        <f t="shared" si="2"/>
        <v>0.575</v>
      </c>
      <c r="R29" s="210">
        <v>1.99</v>
      </c>
      <c r="S29" s="210">
        <v>19.974741071428568</v>
      </c>
      <c r="T29" s="209">
        <v>29.2</v>
      </c>
      <c r="U29" s="209">
        <v>33.59</v>
      </c>
      <c r="V29" s="209">
        <v>12.59</v>
      </c>
      <c r="W29" s="209">
        <v>0</v>
      </c>
      <c r="X29" s="209">
        <v>0</v>
      </c>
      <c r="Y29" s="209">
        <v>0</v>
      </c>
      <c r="Z29" s="209">
        <v>0</v>
      </c>
      <c r="AA29" s="209">
        <v>0</v>
      </c>
      <c r="AB29" s="210">
        <v>0</v>
      </c>
      <c r="AC29" s="209">
        <v>2.01</v>
      </c>
      <c r="AD29" s="197"/>
      <c r="AE29" s="94"/>
      <c r="AF29" s="94"/>
      <c r="AG29" s="94"/>
      <c r="AH29" s="94"/>
      <c r="AI29" s="94"/>
    </row>
    <row r="30" spans="1:35" ht="15" customHeight="1">
      <c r="A30" s="169">
        <v>1988</v>
      </c>
      <c r="B30" s="115">
        <f t="shared" si="0"/>
        <v>12.979999999999997</v>
      </c>
      <c r="C30" s="115">
        <f aca="true" t="shared" si="25" ref="C30:M30">+IF(C87-24&lt;0,0,C87-24)</f>
        <v>40.36</v>
      </c>
      <c r="D30" s="115">
        <f t="shared" si="25"/>
        <v>15.130000000000003</v>
      </c>
      <c r="E30" s="115">
        <f t="shared" si="25"/>
        <v>28.979999999999997</v>
      </c>
      <c r="F30" s="115">
        <f t="shared" si="25"/>
        <v>13.61</v>
      </c>
      <c r="G30" s="115">
        <f t="shared" si="25"/>
        <v>0</v>
      </c>
      <c r="H30" s="115">
        <f t="shared" si="25"/>
        <v>0</v>
      </c>
      <c r="I30" s="115">
        <f t="shared" si="25"/>
        <v>0</v>
      </c>
      <c r="J30" s="115">
        <f t="shared" si="25"/>
        <v>0</v>
      </c>
      <c r="K30" s="115">
        <f t="shared" si="25"/>
        <v>0</v>
      </c>
      <c r="L30" s="115">
        <f t="shared" si="25"/>
        <v>11.130000000000003</v>
      </c>
      <c r="M30" s="115">
        <f t="shared" si="25"/>
        <v>0</v>
      </c>
      <c r="N30" s="116"/>
      <c r="O30"/>
      <c r="P30" s="157">
        <v>24</v>
      </c>
      <c r="Q30" s="171">
        <f t="shared" si="2"/>
        <v>0.6</v>
      </c>
      <c r="R30" s="209">
        <v>1.5584952956989255</v>
      </c>
      <c r="S30" s="209">
        <v>18.486026636904754</v>
      </c>
      <c r="T30" s="209">
        <v>29.19</v>
      </c>
      <c r="U30" s="209">
        <v>33.447048125</v>
      </c>
      <c r="V30" s="209">
        <v>9.562239919354838</v>
      </c>
      <c r="W30" s="209">
        <v>0</v>
      </c>
      <c r="X30" s="209">
        <v>0</v>
      </c>
      <c r="Y30" s="209">
        <v>0</v>
      </c>
      <c r="Z30" s="209">
        <v>0</v>
      </c>
      <c r="AA30" s="209">
        <v>0</v>
      </c>
      <c r="AB30" s="209">
        <v>0</v>
      </c>
      <c r="AC30" s="209">
        <v>0.91</v>
      </c>
      <c r="AD30" s="197"/>
      <c r="AE30" s="94"/>
      <c r="AF30" s="94"/>
      <c r="AG30" s="94"/>
      <c r="AH30" s="94"/>
      <c r="AI30" s="94"/>
    </row>
    <row r="31" spans="1:35" ht="15" customHeight="1">
      <c r="A31" s="169">
        <v>1989</v>
      </c>
      <c r="B31" s="115">
        <f t="shared" si="0"/>
        <v>45.06</v>
      </c>
      <c r="C31" s="115">
        <f aca="true" t="shared" si="26" ref="C31:M31">+IF(C88-24&lt;0,0,C88-24)</f>
        <v>76.27</v>
      </c>
      <c r="D31" s="115">
        <f t="shared" si="26"/>
        <v>51.53</v>
      </c>
      <c r="E31" s="115">
        <f t="shared" si="26"/>
        <v>69.64</v>
      </c>
      <c r="F31" s="115">
        <f t="shared" si="26"/>
        <v>7.510000000000002</v>
      </c>
      <c r="G31" s="115">
        <f t="shared" si="26"/>
        <v>0</v>
      </c>
      <c r="H31" s="115">
        <f t="shared" si="26"/>
        <v>0</v>
      </c>
      <c r="I31" s="115">
        <f t="shared" si="26"/>
        <v>0</v>
      </c>
      <c r="J31" s="115">
        <f t="shared" si="26"/>
        <v>0</v>
      </c>
      <c r="K31" s="115">
        <f t="shared" si="26"/>
        <v>18.549999999999997</v>
      </c>
      <c r="L31" s="115">
        <f t="shared" si="26"/>
        <v>0</v>
      </c>
      <c r="M31" s="115">
        <f t="shared" si="26"/>
        <v>0</v>
      </c>
      <c r="N31" s="116"/>
      <c r="O31"/>
      <c r="P31" s="157">
        <v>25</v>
      </c>
      <c r="Q31" s="171">
        <f t="shared" si="2"/>
        <v>0.625</v>
      </c>
      <c r="R31" s="210">
        <v>1.16</v>
      </c>
      <c r="S31" s="209">
        <v>18.02</v>
      </c>
      <c r="T31" s="210">
        <v>28.94</v>
      </c>
      <c r="U31" s="209">
        <v>29.08</v>
      </c>
      <c r="V31" s="209">
        <v>9.39</v>
      </c>
      <c r="W31" s="209">
        <v>0</v>
      </c>
      <c r="X31" s="210">
        <v>0</v>
      </c>
      <c r="Y31" s="209">
        <v>0</v>
      </c>
      <c r="Z31" s="209">
        <v>0</v>
      </c>
      <c r="AA31" s="210">
        <v>0</v>
      </c>
      <c r="AB31" s="209">
        <v>0</v>
      </c>
      <c r="AC31" s="209">
        <v>0</v>
      </c>
      <c r="AD31" s="197"/>
      <c r="AE31" s="94"/>
      <c r="AF31" s="94"/>
      <c r="AG31" s="94"/>
      <c r="AH31" s="94"/>
      <c r="AI31" s="94"/>
    </row>
    <row r="32" spans="1:35" ht="15" customHeight="1">
      <c r="A32" s="169">
        <v>1990</v>
      </c>
      <c r="B32" s="115">
        <f t="shared" si="0"/>
        <v>0</v>
      </c>
      <c r="C32" s="115">
        <f aca="true" t="shared" si="27" ref="C32:M32">+IF(C89-24&lt;0,0,C89-24)</f>
        <v>4.449999999999999</v>
      </c>
      <c r="D32" s="115">
        <f t="shared" si="27"/>
        <v>3.3299999999999983</v>
      </c>
      <c r="E32" s="115">
        <f t="shared" si="27"/>
        <v>11.060000000000002</v>
      </c>
      <c r="F32" s="115">
        <f t="shared" si="27"/>
        <v>6.510000000000002</v>
      </c>
      <c r="G32" s="115">
        <f t="shared" si="27"/>
        <v>5.140000000000001</v>
      </c>
      <c r="H32" s="115">
        <f t="shared" si="27"/>
        <v>0</v>
      </c>
      <c r="I32" s="115">
        <f t="shared" si="27"/>
        <v>0</v>
      </c>
      <c r="J32" s="115">
        <f t="shared" si="27"/>
        <v>0</v>
      </c>
      <c r="K32" s="115">
        <f t="shared" si="27"/>
        <v>5.34</v>
      </c>
      <c r="L32" s="115">
        <f t="shared" si="27"/>
        <v>6.649999999999999</v>
      </c>
      <c r="M32" s="115">
        <f t="shared" si="27"/>
        <v>12.060000000000002</v>
      </c>
      <c r="N32" s="116"/>
      <c r="O32"/>
      <c r="P32" s="157">
        <v>26</v>
      </c>
      <c r="Q32" s="171">
        <f t="shared" si="2"/>
        <v>0.65</v>
      </c>
      <c r="R32" s="209">
        <v>0</v>
      </c>
      <c r="S32" s="210">
        <v>17.15</v>
      </c>
      <c r="T32" s="211">
        <v>28.31</v>
      </c>
      <c r="U32" s="210">
        <v>28.98</v>
      </c>
      <c r="V32" s="209">
        <v>9.3</v>
      </c>
      <c r="W32" s="209">
        <v>0</v>
      </c>
      <c r="X32" s="209">
        <v>0</v>
      </c>
      <c r="Y32" s="209">
        <v>0</v>
      </c>
      <c r="Z32" s="211">
        <v>0</v>
      </c>
      <c r="AA32" s="209">
        <v>0</v>
      </c>
      <c r="AB32" s="209">
        <v>0</v>
      </c>
      <c r="AC32" s="209">
        <v>0</v>
      </c>
      <c r="AD32" s="197"/>
      <c r="AE32" s="94"/>
      <c r="AF32" s="94"/>
      <c r="AG32" s="94"/>
      <c r="AH32" s="94"/>
      <c r="AI32" s="94"/>
    </row>
    <row r="33" spans="1:35" ht="15" customHeight="1">
      <c r="A33" s="169">
        <v>1991</v>
      </c>
      <c r="B33" s="115">
        <f t="shared" si="0"/>
        <v>0</v>
      </c>
      <c r="C33" s="115">
        <f aca="true" t="shared" si="28" ref="C33:M33">+IF(C90-24&lt;0,0,C90-24)</f>
        <v>3.1799999999999997</v>
      </c>
      <c r="D33" s="115">
        <f t="shared" si="28"/>
        <v>60.86</v>
      </c>
      <c r="E33" s="115">
        <f t="shared" si="28"/>
        <v>33.59</v>
      </c>
      <c r="F33" s="115">
        <f t="shared" si="28"/>
        <v>24.36</v>
      </c>
      <c r="G33" s="115">
        <f t="shared" si="28"/>
        <v>0</v>
      </c>
      <c r="H33" s="115">
        <f t="shared" si="28"/>
        <v>0</v>
      </c>
      <c r="I33" s="115">
        <f t="shared" si="28"/>
        <v>0</v>
      </c>
      <c r="J33" s="115">
        <f t="shared" si="28"/>
        <v>0</v>
      </c>
      <c r="K33" s="115">
        <f t="shared" si="28"/>
        <v>0</v>
      </c>
      <c r="L33" s="115">
        <f t="shared" si="28"/>
        <v>0</v>
      </c>
      <c r="M33" s="115">
        <f t="shared" si="28"/>
        <v>0</v>
      </c>
      <c r="N33" s="116"/>
      <c r="O33"/>
      <c r="P33" s="157">
        <v>27</v>
      </c>
      <c r="Q33" s="171">
        <f t="shared" si="2"/>
        <v>0.675</v>
      </c>
      <c r="R33" s="209">
        <v>0</v>
      </c>
      <c r="S33" s="209">
        <v>15.42</v>
      </c>
      <c r="T33" s="210">
        <v>21.21</v>
      </c>
      <c r="U33" s="209">
        <v>28.47</v>
      </c>
      <c r="V33" s="209">
        <v>7.51</v>
      </c>
      <c r="W33" s="210">
        <v>0</v>
      </c>
      <c r="X33" s="210">
        <v>0</v>
      </c>
      <c r="Y33" s="209">
        <v>0</v>
      </c>
      <c r="Z33" s="209">
        <v>0</v>
      </c>
      <c r="AA33" s="209">
        <v>0</v>
      </c>
      <c r="AB33" s="209">
        <v>0</v>
      </c>
      <c r="AC33" s="209">
        <v>0</v>
      </c>
      <c r="AD33" s="197"/>
      <c r="AE33" s="94"/>
      <c r="AF33" s="94"/>
      <c r="AG33" s="94"/>
      <c r="AH33" s="94"/>
      <c r="AI33" s="94"/>
    </row>
    <row r="34" spans="1:35" ht="15" customHeight="1">
      <c r="A34" s="169">
        <v>1992</v>
      </c>
      <c r="B34" s="115">
        <f t="shared" si="0"/>
        <v>1.1600000000000001</v>
      </c>
      <c r="C34" s="115">
        <f aca="true" t="shared" si="29" ref="C34:M34">+IF(C91-24&lt;0,0,C91-24)</f>
        <v>0</v>
      </c>
      <c r="D34" s="115">
        <f t="shared" si="29"/>
        <v>5.920000000000002</v>
      </c>
      <c r="E34" s="115">
        <f t="shared" si="29"/>
        <v>28.47</v>
      </c>
      <c r="F34" s="115">
        <f t="shared" si="29"/>
        <v>7.039999999999999</v>
      </c>
      <c r="G34" s="115">
        <f t="shared" si="29"/>
        <v>0</v>
      </c>
      <c r="H34" s="115">
        <f t="shared" si="29"/>
        <v>0</v>
      </c>
      <c r="I34" s="115">
        <f t="shared" si="29"/>
        <v>0</v>
      </c>
      <c r="J34" s="115">
        <f t="shared" si="29"/>
        <v>0</v>
      </c>
      <c r="K34" s="115">
        <f t="shared" si="29"/>
        <v>0</v>
      </c>
      <c r="L34" s="115">
        <f t="shared" si="29"/>
        <v>0</v>
      </c>
      <c r="M34" s="115">
        <f t="shared" si="29"/>
        <v>0</v>
      </c>
      <c r="N34" s="116"/>
      <c r="O34"/>
      <c r="P34" s="157">
        <v>28</v>
      </c>
      <c r="Q34" s="171">
        <f t="shared" si="2"/>
        <v>0.7</v>
      </c>
      <c r="R34" s="209">
        <v>0</v>
      </c>
      <c r="S34" s="209">
        <v>9.79</v>
      </c>
      <c r="T34" s="209">
        <v>20.72</v>
      </c>
      <c r="U34" s="209">
        <v>28.23</v>
      </c>
      <c r="V34" s="209">
        <v>7.04</v>
      </c>
      <c r="W34" s="209">
        <v>0</v>
      </c>
      <c r="X34" s="209">
        <v>0</v>
      </c>
      <c r="Y34" s="209">
        <v>0</v>
      </c>
      <c r="Z34" s="210">
        <v>0</v>
      </c>
      <c r="AA34" s="210">
        <v>0</v>
      </c>
      <c r="AB34" s="210">
        <v>0</v>
      </c>
      <c r="AC34" s="209">
        <v>0</v>
      </c>
      <c r="AD34" s="197"/>
      <c r="AE34" s="94"/>
      <c r="AF34" s="94"/>
      <c r="AG34" s="94"/>
      <c r="AH34" s="94"/>
      <c r="AI34" s="94"/>
    </row>
    <row r="35" spans="1:35" ht="15" customHeight="1">
      <c r="A35" s="169">
        <v>1993</v>
      </c>
      <c r="B35" s="115">
        <f t="shared" si="0"/>
        <v>0</v>
      </c>
      <c r="C35" s="115">
        <f aca="true" t="shared" si="30" ref="C35:M35">+IF(C92-24&lt;0,0,C92-24)</f>
        <v>22.18</v>
      </c>
      <c r="D35" s="115">
        <f t="shared" si="30"/>
        <v>40.18000000000001</v>
      </c>
      <c r="E35" s="115">
        <f t="shared" si="30"/>
        <v>97.17</v>
      </c>
      <c r="F35" s="115">
        <f t="shared" si="30"/>
        <v>34.1</v>
      </c>
      <c r="G35" s="115">
        <f t="shared" si="30"/>
        <v>1.4600000000000009</v>
      </c>
      <c r="H35" s="115">
        <f t="shared" si="30"/>
        <v>0</v>
      </c>
      <c r="I35" s="115">
        <f t="shared" si="30"/>
        <v>0</v>
      </c>
      <c r="J35" s="115">
        <f t="shared" si="30"/>
        <v>0</v>
      </c>
      <c r="K35" s="115">
        <f t="shared" si="30"/>
        <v>8.79</v>
      </c>
      <c r="L35" s="115">
        <f t="shared" si="30"/>
        <v>25.57</v>
      </c>
      <c r="M35" s="115">
        <f t="shared" si="30"/>
        <v>0.9100000000000001</v>
      </c>
      <c r="N35" s="116"/>
      <c r="O35"/>
      <c r="P35" s="157">
        <v>29</v>
      </c>
      <c r="Q35" s="171">
        <f t="shared" si="2"/>
        <v>0.725</v>
      </c>
      <c r="R35" s="209">
        <v>0</v>
      </c>
      <c r="S35" s="209">
        <v>4.45</v>
      </c>
      <c r="T35" s="209">
        <v>18.001082661290333</v>
      </c>
      <c r="U35" s="212">
        <v>26.99</v>
      </c>
      <c r="V35" s="209">
        <v>6.55</v>
      </c>
      <c r="W35" s="209">
        <v>0</v>
      </c>
      <c r="X35" s="209">
        <v>0</v>
      </c>
      <c r="Y35" s="209">
        <v>0</v>
      </c>
      <c r="Z35" s="209">
        <v>0</v>
      </c>
      <c r="AA35" s="209">
        <v>0</v>
      </c>
      <c r="AB35" s="210">
        <v>0</v>
      </c>
      <c r="AC35" s="209">
        <v>0</v>
      </c>
      <c r="AD35" s="197"/>
      <c r="AE35" s="94"/>
      <c r="AF35" s="94"/>
      <c r="AG35" s="94"/>
      <c r="AH35" s="94"/>
      <c r="AI35" s="94"/>
    </row>
    <row r="36" spans="1:35" ht="15" customHeight="1">
      <c r="A36" s="169">
        <v>1994</v>
      </c>
      <c r="B36" s="115">
        <f t="shared" si="0"/>
        <v>42.989999999999995</v>
      </c>
      <c r="C36" s="115">
        <f aca="true" t="shared" si="31" ref="C36:M36">+IF(C93-24&lt;0,0,C93-24)</f>
        <v>50.489999999999995</v>
      </c>
      <c r="D36" s="115">
        <f t="shared" si="31"/>
        <v>74.44</v>
      </c>
      <c r="E36" s="115">
        <f t="shared" si="31"/>
        <v>67.4</v>
      </c>
      <c r="F36" s="115">
        <f t="shared" si="31"/>
        <v>14.090000000000003</v>
      </c>
      <c r="G36" s="115">
        <f t="shared" si="31"/>
        <v>0</v>
      </c>
      <c r="H36" s="115">
        <f t="shared" si="31"/>
        <v>0</v>
      </c>
      <c r="I36" s="115">
        <f t="shared" si="31"/>
        <v>0</v>
      </c>
      <c r="J36" s="115">
        <f t="shared" si="31"/>
        <v>0</v>
      </c>
      <c r="K36" s="115">
        <f t="shared" si="31"/>
        <v>0</v>
      </c>
      <c r="L36" s="115">
        <f t="shared" si="31"/>
        <v>0</v>
      </c>
      <c r="M36" s="115">
        <f t="shared" si="31"/>
        <v>10.630000000000003</v>
      </c>
      <c r="N36" s="116"/>
      <c r="O36"/>
      <c r="P36" s="157">
        <v>30</v>
      </c>
      <c r="Q36" s="171">
        <f t="shared" si="2"/>
        <v>0.75</v>
      </c>
      <c r="R36" s="209">
        <v>0</v>
      </c>
      <c r="S36" s="209">
        <v>4.01</v>
      </c>
      <c r="T36" s="209">
        <v>15.72</v>
      </c>
      <c r="U36" s="209">
        <v>24.45</v>
      </c>
      <c r="V36" s="210">
        <v>6.51</v>
      </c>
      <c r="W36" s="209">
        <v>0</v>
      </c>
      <c r="X36" s="211">
        <v>0</v>
      </c>
      <c r="Y36" s="210">
        <v>0</v>
      </c>
      <c r="Z36" s="209">
        <v>0</v>
      </c>
      <c r="AA36" s="209">
        <v>0</v>
      </c>
      <c r="AB36" s="209">
        <v>0</v>
      </c>
      <c r="AC36" s="209">
        <v>0</v>
      </c>
      <c r="AD36" s="197"/>
      <c r="AE36" s="94"/>
      <c r="AF36" s="94"/>
      <c r="AG36" s="94"/>
      <c r="AH36" s="94"/>
      <c r="AI36" s="94"/>
    </row>
    <row r="37" spans="1:35" ht="15" customHeight="1">
      <c r="A37" s="169">
        <v>1995</v>
      </c>
      <c r="B37" s="115">
        <f t="shared" si="0"/>
        <v>0</v>
      </c>
      <c r="C37" s="115">
        <f aca="true" t="shared" si="32" ref="C37:M37">+IF(C94-24&lt;0,0,C94-24)</f>
        <v>22.479999999999997</v>
      </c>
      <c r="D37" s="115">
        <f t="shared" si="32"/>
        <v>20.72</v>
      </c>
      <c r="E37" s="115">
        <f t="shared" si="32"/>
        <v>28.229999999999997</v>
      </c>
      <c r="F37" s="115">
        <f t="shared" si="32"/>
        <v>3.6799999999999997</v>
      </c>
      <c r="G37" s="115">
        <f t="shared" si="32"/>
        <v>0</v>
      </c>
      <c r="H37" s="115">
        <f t="shared" si="32"/>
        <v>0</v>
      </c>
      <c r="I37" s="115">
        <f t="shared" si="32"/>
        <v>0</v>
      </c>
      <c r="J37" s="115">
        <f t="shared" si="32"/>
        <v>0</v>
      </c>
      <c r="K37" s="115">
        <f t="shared" si="32"/>
        <v>0</v>
      </c>
      <c r="L37" s="115">
        <f t="shared" si="32"/>
        <v>14.280000000000001</v>
      </c>
      <c r="M37" s="115">
        <f t="shared" si="32"/>
        <v>17.299999999999997</v>
      </c>
      <c r="N37" s="116"/>
      <c r="O37"/>
      <c r="P37" s="157">
        <v>31</v>
      </c>
      <c r="Q37" s="171">
        <f t="shared" si="2"/>
        <v>0.775</v>
      </c>
      <c r="R37" s="209">
        <v>0</v>
      </c>
      <c r="S37" s="209">
        <v>3.79</v>
      </c>
      <c r="T37" s="209">
        <v>15.13</v>
      </c>
      <c r="U37" s="209">
        <v>23.57</v>
      </c>
      <c r="V37" s="210">
        <v>6.496904905913983</v>
      </c>
      <c r="W37" s="209">
        <v>0</v>
      </c>
      <c r="X37" s="210">
        <v>0</v>
      </c>
      <c r="Y37" s="209">
        <v>0</v>
      </c>
      <c r="Z37" s="210">
        <v>0</v>
      </c>
      <c r="AA37" s="209">
        <v>0</v>
      </c>
      <c r="AB37" s="211">
        <v>0</v>
      </c>
      <c r="AC37" s="209">
        <v>0</v>
      </c>
      <c r="AD37" s="197"/>
      <c r="AE37" s="94"/>
      <c r="AF37" s="94"/>
      <c r="AG37" s="94"/>
      <c r="AH37" s="94"/>
      <c r="AI37" s="94"/>
    </row>
    <row r="38" spans="1:35" ht="15" customHeight="1">
      <c r="A38" s="169">
        <v>1996</v>
      </c>
      <c r="B38" s="115">
        <f t="shared" si="0"/>
        <v>30.770000000000003</v>
      </c>
      <c r="C38" s="115">
        <f aca="true" t="shared" si="33" ref="C38:M38">+IF(C95-24&lt;0,0,C95-24)</f>
        <v>52.45</v>
      </c>
      <c r="D38" s="115">
        <f t="shared" si="33"/>
        <v>72.57</v>
      </c>
      <c r="E38" s="115">
        <f t="shared" si="33"/>
        <v>49.18000000000001</v>
      </c>
      <c r="F38" s="115">
        <f t="shared" si="33"/>
        <v>9.299999999999997</v>
      </c>
      <c r="G38" s="115">
        <f t="shared" si="33"/>
        <v>0</v>
      </c>
      <c r="H38" s="115">
        <f t="shared" si="33"/>
        <v>0</v>
      </c>
      <c r="I38" s="115">
        <f t="shared" si="33"/>
        <v>0</v>
      </c>
      <c r="J38" s="115">
        <f t="shared" si="33"/>
        <v>0</v>
      </c>
      <c r="K38" s="115">
        <f t="shared" si="33"/>
        <v>3.6900000000000013</v>
      </c>
      <c r="L38" s="115">
        <f t="shared" si="33"/>
        <v>1.8900000000000006</v>
      </c>
      <c r="M38" s="115">
        <f t="shared" si="33"/>
        <v>0</v>
      </c>
      <c r="N38" s="116"/>
      <c r="O38"/>
      <c r="P38" s="157">
        <v>32</v>
      </c>
      <c r="Q38" s="171">
        <f t="shared" si="2"/>
        <v>0.8</v>
      </c>
      <c r="R38" s="209">
        <v>0</v>
      </c>
      <c r="S38" s="209">
        <v>3.18</v>
      </c>
      <c r="T38" s="210">
        <v>13.98</v>
      </c>
      <c r="U38" s="209">
        <v>16.33233333333333</v>
      </c>
      <c r="V38" s="209">
        <v>4.7</v>
      </c>
      <c r="W38" s="209">
        <v>0</v>
      </c>
      <c r="X38" s="209">
        <v>0</v>
      </c>
      <c r="Y38" s="209">
        <v>0</v>
      </c>
      <c r="Z38" s="209">
        <v>0</v>
      </c>
      <c r="AA38" s="209">
        <v>0</v>
      </c>
      <c r="AB38" s="209">
        <v>0</v>
      </c>
      <c r="AC38" s="209">
        <v>0</v>
      </c>
      <c r="AD38" s="197"/>
      <c r="AE38" s="94"/>
      <c r="AF38" s="94"/>
      <c r="AG38" s="94"/>
      <c r="AH38" s="94"/>
      <c r="AI38" s="94"/>
    </row>
    <row r="39" spans="1:35" ht="15" customHeight="1">
      <c r="A39" s="169">
        <v>1997</v>
      </c>
      <c r="B39" s="115">
        <f t="shared" si="0"/>
        <v>0</v>
      </c>
      <c r="C39" s="115">
        <f aca="true" t="shared" si="34" ref="C39:M39">+IF(C96-24&lt;0,0,C96-24)</f>
        <v>34.53137931034482</v>
      </c>
      <c r="D39" s="115">
        <f t="shared" si="34"/>
        <v>13.327096774193542</v>
      </c>
      <c r="E39" s="115">
        <f t="shared" si="34"/>
        <v>16.33233333333333</v>
      </c>
      <c r="F39" s="115">
        <f t="shared" si="34"/>
        <v>2.6922580645161283</v>
      </c>
      <c r="G39" s="115">
        <f t="shared" si="34"/>
        <v>0</v>
      </c>
      <c r="H39" s="115">
        <f t="shared" si="34"/>
        <v>0</v>
      </c>
      <c r="I39" s="115">
        <f t="shared" si="34"/>
        <v>0</v>
      </c>
      <c r="J39" s="115">
        <f t="shared" si="34"/>
        <v>0</v>
      </c>
      <c r="K39" s="115">
        <f t="shared" si="34"/>
        <v>0</v>
      </c>
      <c r="L39" s="115">
        <f t="shared" si="34"/>
        <v>0</v>
      </c>
      <c r="M39" s="115">
        <f t="shared" si="34"/>
        <v>19.47161290322581</v>
      </c>
      <c r="N39" s="116"/>
      <c r="O39"/>
      <c r="P39" s="157">
        <v>33</v>
      </c>
      <c r="Q39" s="171">
        <f t="shared" si="2"/>
        <v>0.825</v>
      </c>
      <c r="R39" s="209">
        <v>0</v>
      </c>
      <c r="S39" s="209">
        <v>0.6700000000000017</v>
      </c>
      <c r="T39" s="211">
        <v>13.327096774193542</v>
      </c>
      <c r="U39" s="209">
        <v>15.24</v>
      </c>
      <c r="V39" s="209">
        <v>3.69</v>
      </c>
      <c r="W39" s="209">
        <v>0</v>
      </c>
      <c r="X39" s="209">
        <v>0</v>
      </c>
      <c r="Y39" s="209">
        <v>0</v>
      </c>
      <c r="Z39" s="210">
        <v>0</v>
      </c>
      <c r="AA39" s="209">
        <v>0</v>
      </c>
      <c r="AB39" s="209">
        <v>0</v>
      </c>
      <c r="AC39" s="209">
        <v>0</v>
      </c>
      <c r="AD39" s="197"/>
      <c r="AE39" s="94"/>
      <c r="AF39" s="94"/>
      <c r="AG39" s="94"/>
      <c r="AH39" s="94"/>
      <c r="AI39" s="94"/>
    </row>
    <row r="40" spans="1:35" ht="15" customHeight="1">
      <c r="A40" s="169">
        <v>1998</v>
      </c>
      <c r="B40" s="115">
        <f t="shared" si="0"/>
        <v>35.32587096774192</v>
      </c>
      <c r="C40" s="115">
        <f aca="true" t="shared" si="35" ref="C40:M40">+IF(C97-24&lt;0,0,C97-24)</f>
        <v>40.95892857142856</v>
      </c>
      <c r="D40" s="115">
        <f t="shared" si="35"/>
        <v>68.64087096774195</v>
      </c>
      <c r="E40" s="115">
        <f t="shared" si="35"/>
        <v>111.28633333333332</v>
      </c>
      <c r="F40" s="115">
        <f t="shared" si="35"/>
        <v>32.15838709677419</v>
      </c>
      <c r="G40" s="115">
        <f t="shared" si="35"/>
        <v>0</v>
      </c>
      <c r="H40" s="115">
        <f t="shared" si="35"/>
        <v>0</v>
      </c>
      <c r="I40" s="115">
        <f t="shared" si="35"/>
        <v>0</v>
      </c>
      <c r="J40" s="115">
        <f t="shared" si="35"/>
        <v>0</v>
      </c>
      <c r="K40" s="115">
        <f t="shared" si="35"/>
        <v>0</v>
      </c>
      <c r="L40" s="115">
        <f t="shared" si="35"/>
        <v>0</v>
      </c>
      <c r="M40" s="115">
        <f t="shared" si="35"/>
        <v>0</v>
      </c>
      <c r="N40" s="116"/>
      <c r="O40"/>
      <c r="P40" s="157">
        <v>34</v>
      </c>
      <c r="Q40" s="171">
        <f t="shared" si="2"/>
        <v>0.85</v>
      </c>
      <c r="R40" s="212">
        <v>0</v>
      </c>
      <c r="S40" s="209">
        <v>0</v>
      </c>
      <c r="T40" s="209">
        <v>10.02</v>
      </c>
      <c r="U40" s="209">
        <v>15.028858067279934</v>
      </c>
      <c r="V40" s="210">
        <v>3.68</v>
      </c>
      <c r="W40" s="209">
        <v>0</v>
      </c>
      <c r="X40" s="209">
        <v>0</v>
      </c>
      <c r="Y40" s="209">
        <v>0</v>
      </c>
      <c r="Z40" s="209">
        <v>0</v>
      </c>
      <c r="AA40" s="210">
        <v>0</v>
      </c>
      <c r="AB40" s="210">
        <v>0</v>
      </c>
      <c r="AC40" s="209">
        <v>0</v>
      </c>
      <c r="AD40" s="197"/>
      <c r="AE40" s="94"/>
      <c r="AF40" s="94"/>
      <c r="AG40" s="94"/>
      <c r="AH40" s="94"/>
      <c r="AI40" s="94"/>
    </row>
    <row r="41" spans="1:35" ht="15" customHeight="1">
      <c r="A41" s="170">
        <v>1999</v>
      </c>
      <c r="B41" s="115">
        <f t="shared" si="0"/>
        <v>0</v>
      </c>
      <c r="C41" s="115">
        <f aca="true" t="shared" si="36" ref="C41:M41">+IF(C98-24&lt;0,0,C98-24)</f>
        <v>73.12571428571428</v>
      </c>
      <c r="D41" s="115">
        <f t="shared" si="36"/>
        <v>38.806451612903224</v>
      </c>
      <c r="E41" s="115">
        <f t="shared" si="36"/>
        <v>52.04466666666667</v>
      </c>
      <c r="F41" s="115">
        <f t="shared" si="36"/>
        <v>31.236038844086032</v>
      </c>
      <c r="G41" s="115">
        <f t="shared" si="36"/>
        <v>17.866201944444455</v>
      </c>
      <c r="H41" s="115">
        <f t="shared" si="36"/>
        <v>4.949278561827963</v>
      </c>
      <c r="I41" s="115">
        <f t="shared" si="36"/>
        <v>0</v>
      </c>
      <c r="J41" s="115">
        <f t="shared" si="36"/>
        <v>0</v>
      </c>
      <c r="K41" s="115">
        <f t="shared" si="36"/>
        <v>8.472270161290318</v>
      </c>
      <c r="L41" s="115">
        <f t="shared" si="36"/>
        <v>0</v>
      </c>
      <c r="M41" s="115">
        <f t="shared" si="36"/>
        <v>15.386598252688174</v>
      </c>
      <c r="N41" s="119"/>
      <c r="O41"/>
      <c r="P41" s="157">
        <v>35</v>
      </c>
      <c r="Q41" s="171">
        <f t="shared" si="2"/>
        <v>0.875</v>
      </c>
      <c r="R41" s="209">
        <v>0</v>
      </c>
      <c r="S41" s="210">
        <v>0</v>
      </c>
      <c r="T41" s="209">
        <v>8.95</v>
      </c>
      <c r="U41" s="210">
        <v>13.44</v>
      </c>
      <c r="V41" s="210">
        <v>3.29</v>
      </c>
      <c r="W41" s="209">
        <v>0</v>
      </c>
      <c r="X41" s="209">
        <v>0</v>
      </c>
      <c r="Y41" s="211">
        <v>0</v>
      </c>
      <c r="Z41" s="209">
        <v>0</v>
      </c>
      <c r="AA41" s="209">
        <v>0</v>
      </c>
      <c r="AB41" s="209">
        <v>0</v>
      </c>
      <c r="AC41" s="209">
        <v>0</v>
      </c>
      <c r="AD41" s="197"/>
      <c r="AE41" s="94"/>
      <c r="AF41" s="94"/>
      <c r="AG41" s="94"/>
      <c r="AH41" s="94"/>
      <c r="AI41" s="94"/>
    </row>
    <row r="42" spans="1:35" ht="15" customHeight="1">
      <c r="A42" s="170">
        <v>2000</v>
      </c>
      <c r="B42" s="115">
        <f t="shared" si="0"/>
        <v>0</v>
      </c>
      <c r="C42" s="115">
        <f aca="true" t="shared" si="37" ref="C42:M42">+IF(C99-24&lt;0,0,C99-24)</f>
        <v>28.41513534482759</v>
      </c>
      <c r="D42" s="115">
        <f t="shared" si="37"/>
        <v>65.06555913978495</v>
      </c>
      <c r="E42" s="115">
        <f t="shared" si="37"/>
        <v>62.05189722222222</v>
      </c>
      <c r="F42" s="115">
        <f t="shared" si="37"/>
        <v>42.37361021505379</v>
      </c>
      <c r="G42" s="115">
        <f t="shared" si="37"/>
        <v>4.590370833333331</v>
      </c>
      <c r="H42" s="115">
        <f t="shared" si="37"/>
        <v>0</v>
      </c>
      <c r="I42" s="115">
        <f t="shared" si="37"/>
        <v>0</v>
      </c>
      <c r="J42" s="115">
        <f t="shared" si="37"/>
        <v>0</v>
      </c>
      <c r="K42" s="115">
        <f t="shared" si="37"/>
        <v>0</v>
      </c>
      <c r="L42" s="115">
        <f t="shared" si="37"/>
        <v>0</v>
      </c>
      <c r="M42" s="115">
        <f t="shared" si="37"/>
        <v>8.70671706989247</v>
      </c>
      <c r="N42" s="116"/>
      <c r="O42"/>
      <c r="P42" s="157">
        <v>36</v>
      </c>
      <c r="Q42" s="171">
        <f t="shared" si="2"/>
        <v>0.9</v>
      </c>
      <c r="R42" s="210">
        <v>0</v>
      </c>
      <c r="S42" s="210">
        <v>0</v>
      </c>
      <c r="T42" s="209">
        <v>8.29438870967742</v>
      </c>
      <c r="U42" s="209">
        <v>11.06</v>
      </c>
      <c r="V42" s="209">
        <v>2.6922580645161283</v>
      </c>
      <c r="W42" s="209">
        <v>0</v>
      </c>
      <c r="X42" s="210">
        <v>0</v>
      </c>
      <c r="Y42" s="209">
        <v>0</v>
      </c>
      <c r="Z42" s="210">
        <v>0</v>
      </c>
      <c r="AA42" s="210">
        <v>0</v>
      </c>
      <c r="AB42" s="210">
        <v>0</v>
      </c>
      <c r="AC42" s="209">
        <v>0</v>
      </c>
      <c r="AD42" s="197"/>
      <c r="AE42" s="94"/>
      <c r="AF42" s="94"/>
      <c r="AG42" s="94"/>
      <c r="AH42" s="94"/>
      <c r="AI42" s="94"/>
    </row>
    <row r="43" spans="1:35" ht="15" customHeight="1">
      <c r="A43" s="170">
        <v>2001</v>
      </c>
      <c r="B43" s="115">
        <f t="shared" si="0"/>
        <v>29.818524865591392</v>
      </c>
      <c r="C43" s="115">
        <f aca="true" t="shared" si="38" ref="C43:M43">+IF(C100-24&lt;0,0,C100-24)</f>
        <v>18.486026636904754</v>
      </c>
      <c r="D43" s="115">
        <f t="shared" si="38"/>
        <v>108.40042682984341</v>
      </c>
      <c r="E43" s="115">
        <f t="shared" si="38"/>
        <v>73.94776216959063</v>
      </c>
      <c r="F43" s="115">
        <f t="shared" si="38"/>
        <v>14.705831609396903</v>
      </c>
      <c r="G43" s="115">
        <f t="shared" si="38"/>
        <v>0</v>
      </c>
      <c r="H43" s="115">
        <f t="shared" si="38"/>
        <v>0</v>
      </c>
      <c r="I43" s="115">
        <f t="shared" si="38"/>
        <v>0</v>
      </c>
      <c r="J43" s="115">
        <f t="shared" si="38"/>
        <v>0</v>
      </c>
      <c r="K43" s="115">
        <f t="shared" si="38"/>
        <v>0</v>
      </c>
      <c r="L43" s="115">
        <f t="shared" si="38"/>
        <v>4.203989027777784</v>
      </c>
      <c r="M43" s="115">
        <f t="shared" si="38"/>
        <v>12.017468413978499</v>
      </c>
      <c r="N43" s="116"/>
      <c r="O43"/>
      <c r="P43" s="172">
        <v>37</v>
      </c>
      <c r="Q43" s="171">
        <f t="shared" si="2"/>
        <v>0.925</v>
      </c>
      <c r="R43" s="209">
        <v>0</v>
      </c>
      <c r="S43" s="209">
        <v>0</v>
      </c>
      <c r="T43" s="209">
        <v>6.65</v>
      </c>
      <c r="U43" s="209">
        <v>8.12</v>
      </c>
      <c r="V43" s="209">
        <v>0</v>
      </c>
      <c r="W43" s="211">
        <v>0</v>
      </c>
      <c r="X43" s="209">
        <v>0</v>
      </c>
      <c r="Y43" s="209">
        <v>0</v>
      </c>
      <c r="Z43" s="209">
        <v>0</v>
      </c>
      <c r="AA43" s="209">
        <v>0</v>
      </c>
      <c r="AB43" s="212">
        <v>0</v>
      </c>
      <c r="AC43" s="209">
        <v>0</v>
      </c>
      <c r="AD43" s="197"/>
      <c r="AE43" s="94"/>
      <c r="AF43" s="94"/>
      <c r="AG43" s="94"/>
      <c r="AH43" s="94"/>
      <c r="AI43" s="94"/>
    </row>
    <row r="44" spans="1:35" ht="15" customHeight="1">
      <c r="A44" s="170">
        <v>2002</v>
      </c>
      <c r="B44" s="115">
        <f t="shared" si="0"/>
        <v>2.0102237903225806</v>
      </c>
      <c r="C44" s="115">
        <f aca="true" t="shared" si="39" ref="C44:M44">+IF(C101-24&lt;0,0,C101-24)</f>
        <v>19.974741071428568</v>
      </c>
      <c r="D44" s="115">
        <f t="shared" si="39"/>
        <v>75.70008633064518</v>
      </c>
      <c r="E44" s="115">
        <f t="shared" si="39"/>
        <v>59.076991196504494</v>
      </c>
      <c r="F44" s="115">
        <f t="shared" si="39"/>
        <v>6.496904905913983</v>
      </c>
      <c r="G44" s="115">
        <f t="shared" si="39"/>
        <v>0</v>
      </c>
      <c r="H44" s="115">
        <f t="shared" si="39"/>
        <v>0</v>
      </c>
      <c r="I44" s="115">
        <f t="shared" si="39"/>
        <v>0</v>
      </c>
      <c r="J44" s="115">
        <f t="shared" si="39"/>
        <v>0</v>
      </c>
      <c r="K44" s="115">
        <f t="shared" si="39"/>
        <v>0</v>
      </c>
      <c r="L44" s="115">
        <f t="shared" si="39"/>
        <v>12.291774999999994</v>
      </c>
      <c r="M44" s="115">
        <f t="shared" si="39"/>
        <v>3.6834653294863315</v>
      </c>
      <c r="N44" s="116"/>
      <c r="O44"/>
      <c r="P44" s="157">
        <v>38</v>
      </c>
      <c r="Q44" s="171">
        <f t="shared" si="2"/>
        <v>0.95</v>
      </c>
      <c r="R44" s="210">
        <v>0</v>
      </c>
      <c r="S44" s="209">
        <v>0</v>
      </c>
      <c r="T44" s="209">
        <v>6.51</v>
      </c>
      <c r="U44" s="209">
        <v>7.89</v>
      </c>
      <c r="V44" s="210">
        <v>0</v>
      </c>
      <c r="W44" s="209">
        <v>0</v>
      </c>
      <c r="X44" s="209">
        <v>0</v>
      </c>
      <c r="Y44" s="209">
        <v>0</v>
      </c>
      <c r="Z44" s="210">
        <v>0</v>
      </c>
      <c r="AA44" s="210">
        <v>0</v>
      </c>
      <c r="AB44" s="210">
        <v>0</v>
      </c>
      <c r="AC44" s="209">
        <v>0</v>
      </c>
      <c r="AD44" s="198"/>
      <c r="AE44" s="95"/>
      <c r="AF44" s="95"/>
      <c r="AG44" s="95"/>
      <c r="AH44" s="95"/>
      <c r="AI44" s="95"/>
    </row>
    <row r="45" spans="1:35" ht="15" customHeight="1">
      <c r="A45" s="170">
        <v>2003</v>
      </c>
      <c r="B45" s="115">
        <f t="shared" si="0"/>
        <v>0</v>
      </c>
      <c r="C45" s="115">
        <f aca="true" t="shared" si="40" ref="C45:M45">+IF(C102-24&lt;0,0,C102-24)</f>
        <v>32.135559523809526</v>
      </c>
      <c r="D45" s="115">
        <f t="shared" si="40"/>
        <v>18.001082661290333</v>
      </c>
      <c r="E45" s="115">
        <f t="shared" si="40"/>
        <v>33.447048125</v>
      </c>
      <c r="F45" s="115">
        <f t="shared" si="40"/>
        <v>9.562239919354838</v>
      </c>
      <c r="G45" s="115">
        <f t="shared" si="40"/>
        <v>0</v>
      </c>
      <c r="H45" s="115">
        <f t="shared" si="40"/>
        <v>0</v>
      </c>
      <c r="I45" s="115">
        <f t="shared" si="40"/>
        <v>0</v>
      </c>
      <c r="J45" s="115">
        <f t="shared" si="40"/>
        <v>0</v>
      </c>
      <c r="K45" s="115">
        <f t="shared" si="40"/>
        <v>0</v>
      </c>
      <c r="L45" s="115">
        <f t="shared" si="40"/>
        <v>0</v>
      </c>
      <c r="M45" s="115">
        <f t="shared" si="40"/>
        <v>0</v>
      </c>
      <c r="N45" s="116"/>
      <c r="O45"/>
      <c r="P45" s="157">
        <v>39</v>
      </c>
      <c r="Q45" s="171">
        <f t="shared" si="2"/>
        <v>0.975</v>
      </c>
      <c r="R45" s="209">
        <v>0</v>
      </c>
      <c r="S45" s="211">
        <v>0</v>
      </c>
      <c r="T45" s="209">
        <v>5.92</v>
      </c>
      <c r="U45" s="209">
        <v>5.37</v>
      </c>
      <c r="V45" s="209">
        <v>0</v>
      </c>
      <c r="W45" s="209">
        <v>0</v>
      </c>
      <c r="X45" s="209">
        <v>0</v>
      </c>
      <c r="Y45" s="209">
        <v>0</v>
      </c>
      <c r="Z45" s="209">
        <v>0</v>
      </c>
      <c r="AA45" s="209">
        <v>0</v>
      </c>
      <c r="AB45" s="209">
        <v>0</v>
      </c>
      <c r="AC45" s="209">
        <v>0</v>
      </c>
      <c r="AD45" s="198"/>
      <c r="AE45" s="95"/>
      <c r="AF45" s="95"/>
      <c r="AG45" s="95"/>
      <c r="AH45" s="95"/>
      <c r="AI45" s="95"/>
    </row>
    <row r="46" spans="1:35" ht="15" customHeight="1">
      <c r="A46" s="170">
        <v>2004</v>
      </c>
      <c r="B46" s="115">
        <f t="shared" si="0"/>
        <v>0</v>
      </c>
      <c r="C46" s="115">
        <f aca="true" t="shared" si="41" ref="C46:M46">+IF(C103-24&lt;0,0,C103-24)</f>
        <v>0</v>
      </c>
      <c r="D46" s="115">
        <f t="shared" si="41"/>
        <v>8.29438870967742</v>
      </c>
      <c r="E46" s="115">
        <f t="shared" si="41"/>
        <v>15.028858067279934</v>
      </c>
      <c r="F46" s="115">
        <f t="shared" si="41"/>
        <v>12.900909206989247</v>
      </c>
      <c r="G46" s="115">
        <f t="shared" si="41"/>
        <v>0</v>
      </c>
      <c r="H46" s="115">
        <f t="shared" si="41"/>
        <v>0</v>
      </c>
      <c r="I46" s="115">
        <f t="shared" si="41"/>
        <v>0</v>
      </c>
      <c r="J46" s="115">
        <f t="shared" si="41"/>
        <v>0</v>
      </c>
      <c r="K46" s="115">
        <f t="shared" si="41"/>
        <v>0</v>
      </c>
      <c r="L46" s="115">
        <f t="shared" si="41"/>
        <v>32.6812679861111</v>
      </c>
      <c r="M46" s="115">
        <f t="shared" si="41"/>
        <v>28.482875</v>
      </c>
      <c r="N46" s="116"/>
      <c r="O46"/>
      <c r="P46" s="157">
        <v>40</v>
      </c>
      <c r="Q46" s="171">
        <f>+P46/$P$48</f>
        <v>0.9523809523809523</v>
      </c>
      <c r="R46" s="209">
        <v>0</v>
      </c>
      <c r="S46" s="210">
        <v>0</v>
      </c>
      <c r="T46" s="210">
        <v>5.6</v>
      </c>
      <c r="U46" s="210">
        <v>4.06</v>
      </c>
      <c r="V46" s="210">
        <v>0</v>
      </c>
      <c r="W46" s="209">
        <v>0</v>
      </c>
      <c r="X46" s="209">
        <v>0</v>
      </c>
      <c r="Y46" s="209">
        <v>0</v>
      </c>
      <c r="Z46" s="209">
        <v>0</v>
      </c>
      <c r="AA46" s="209">
        <v>0</v>
      </c>
      <c r="AB46" s="209">
        <v>0</v>
      </c>
      <c r="AC46" s="209">
        <v>0</v>
      </c>
      <c r="AD46" s="198"/>
      <c r="AE46" s="95"/>
      <c r="AF46" s="95"/>
      <c r="AG46" s="95"/>
      <c r="AH46" s="95"/>
      <c r="AI46" s="95"/>
    </row>
    <row r="47" spans="1:35" ht="15" customHeight="1">
      <c r="A47" s="170">
        <v>2005</v>
      </c>
      <c r="B47" s="115">
        <f aca="true" t="shared" si="42" ref="B47:M47">+IF(B104-24&lt;0,0,B104-24)</f>
        <v>1.5584952956989255</v>
      </c>
      <c r="C47" s="115">
        <f t="shared" si="42"/>
        <v>22.30099925595239</v>
      </c>
      <c r="D47" s="115">
        <f t="shared" si="42"/>
        <v>86.21497715053765</v>
      </c>
      <c r="E47" s="115">
        <f t="shared" si="42"/>
        <v>37.10776308333333</v>
      </c>
      <c r="F47" s="115">
        <f t="shared" si="42"/>
        <v>0</v>
      </c>
      <c r="G47" s="115">
        <f t="shared" si="42"/>
        <v>0</v>
      </c>
      <c r="H47" s="115">
        <f t="shared" si="42"/>
        <v>0</v>
      </c>
      <c r="I47" s="115">
        <f t="shared" si="42"/>
        <v>0</v>
      </c>
      <c r="J47" s="115">
        <f t="shared" si="42"/>
        <v>0</v>
      </c>
      <c r="K47" s="115">
        <f t="shared" si="42"/>
        <v>3.0313156130470666</v>
      </c>
      <c r="L47" s="115">
        <f t="shared" si="42"/>
        <v>0</v>
      </c>
      <c r="M47" s="115">
        <f t="shared" si="42"/>
        <v>0</v>
      </c>
      <c r="N47" s="116"/>
      <c r="O47"/>
      <c r="P47" s="157">
        <v>41</v>
      </c>
      <c r="Q47" s="171">
        <f>+P47/$P$48</f>
        <v>0.9761904761904762</v>
      </c>
      <c r="R47" s="209">
        <v>0</v>
      </c>
      <c r="S47" s="209">
        <v>0</v>
      </c>
      <c r="T47" s="209">
        <v>5.38</v>
      </c>
      <c r="U47" s="209">
        <v>0</v>
      </c>
      <c r="V47" s="209">
        <v>0</v>
      </c>
      <c r="W47" s="210">
        <v>0</v>
      </c>
      <c r="X47" s="211">
        <v>0</v>
      </c>
      <c r="Y47" s="210">
        <v>0</v>
      </c>
      <c r="Z47" s="211">
        <v>0</v>
      </c>
      <c r="AA47" s="209">
        <v>0</v>
      </c>
      <c r="AB47" s="209">
        <v>0</v>
      </c>
      <c r="AC47" s="209">
        <v>0</v>
      </c>
      <c r="AD47" s="198"/>
      <c r="AE47" s="95"/>
      <c r="AF47" s="95"/>
      <c r="AG47" s="95"/>
      <c r="AH47" s="95"/>
      <c r="AI47" s="95"/>
    </row>
    <row r="48" spans="1:35" ht="15" customHeight="1">
      <c r="A48" s="170">
        <v>2006</v>
      </c>
      <c r="B48" s="115">
        <f aca="true" t="shared" si="43" ref="B48:M48">+IF(B105-24&lt;0,0,B105-24)</f>
        <v>9.760455309139822</v>
      </c>
      <c r="C48" s="115">
        <f t="shared" si="43"/>
        <v>67.64651413690471</v>
      </c>
      <c r="D48" s="115">
        <f t="shared" si="43"/>
        <v>137.87423991935484</v>
      </c>
      <c r="E48" s="115">
        <f t="shared" si="43"/>
        <v>73.77093055555557</v>
      </c>
      <c r="F48" s="115">
        <f t="shared" si="43"/>
        <v>0</v>
      </c>
      <c r="G48" s="115">
        <f t="shared" si="43"/>
        <v>0</v>
      </c>
      <c r="H48" s="115">
        <f t="shared" si="43"/>
        <v>0</v>
      </c>
      <c r="I48" s="115">
        <f t="shared" si="43"/>
        <v>0</v>
      </c>
      <c r="J48" s="115">
        <f t="shared" si="43"/>
        <v>0</v>
      </c>
      <c r="K48" s="115">
        <f t="shared" si="43"/>
        <v>0</v>
      </c>
      <c r="L48" s="115">
        <f t="shared" si="43"/>
        <v>0</v>
      </c>
      <c r="M48" s="115">
        <f t="shared" si="43"/>
        <v>22.242175044459607</v>
      </c>
      <c r="N48" s="116"/>
      <c r="O48"/>
      <c r="P48" s="157">
        <v>42</v>
      </c>
      <c r="Q48" s="171">
        <f>+P48/$P$48</f>
        <v>1</v>
      </c>
      <c r="R48" s="211">
        <v>0</v>
      </c>
      <c r="S48" s="209">
        <v>0</v>
      </c>
      <c r="T48" s="209">
        <v>3.33</v>
      </c>
      <c r="U48" s="209">
        <v>0</v>
      </c>
      <c r="V48" s="209">
        <v>0</v>
      </c>
      <c r="W48" s="209">
        <v>0</v>
      </c>
      <c r="X48" s="210">
        <v>0</v>
      </c>
      <c r="Y48" s="209">
        <v>0</v>
      </c>
      <c r="Z48" s="210">
        <v>0</v>
      </c>
      <c r="AA48" s="210">
        <v>0</v>
      </c>
      <c r="AB48" s="210">
        <v>0</v>
      </c>
      <c r="AC48" s="209">
        <v>0</v>
      </c>
      <c r="AD48" s="198"/>
      <c r="AE48" s="95"/>
      <c r="AF48" s="95"/>
      <c r="AG48" s="95"/>
      <c r="AH48" s="95"/>
      <c r="AI48" s="95"/>
    </row>
    <row r="49" spans="1:35" ht="15" customHeight="1">
      <c r="A49" s="156" t="s">
        <v>77</v>
      </c>
      <c r="B49" s="162">
        <f>AVERAGE(B7:B46)</f>
        <v>13.383365490591398</v>
      </c>
      <c r="C49" s="162">
        <f aca="true" t="shared" si="44" ref="C49:M49">AVERAGE(C7:C46)</f>
        <v>26.215687118611452</v>
      </c>
      <c r="D49" s="162">
        <f t="shared" si="44"/>
        <v>37.56089907565199</v>
      </c>
      <c r="E49" s="162">
        <f t="shared" si="44"/>
        <v>43.12089725284826</v>
      </c>
      <c r="F49" s="162">
        <f t="shared" si="44"/>
        <v>16.08615449655213</v>
      </c>
      <c r="G49" s="162">
        <f t="shared" si="44"/>
        <v>1.6554143194444446</v>
      </c>
      <c r="H49" s="162">
        <f t="shared" si="44"/>
        <v>0.12373196404569908</v>
      </c>
      <c r="I49" s="162">
        <f t="shared" si="44"/>
        <v>0</v>
      </c>
      <c r="J49" s="162">
        <f t="shared" si="44"/>
        <v>0.24699999999999997</v>
      </c>
      <c r="K49" s="162">
        <f t="shared" si="44"/>
        <v>6.722806754032258</v>
      </c>
      <c r="L49" s="162">
        <f t="shared" si="44"/>
        <v>6.330675800347221</v>
      </c>
      <c r="M49" s="162">
        <f t="shared" si="44"/>
        <v>7.902718424231783</v>
      </c>
      <c r="N49" s="162"/>
      <c r="O49"/>
      <c r="P49" s="158"/>
      <c r="Q49" s="156" t="s">
        <v>77</v>
      </c>
      <c r="R49" s="162">
        <f>AVERAGE(R7:R46)</f>
        <v>13.666339255712368</v>
      </c>
      <c r="S49" s="162">
        <f aca="true" t="shared" si="45" ref="S49:AC49">AVERAGE(S7:S46)</f>
        <v>28.464374953432888</v>
      </c>
      <c r="T49" s="162">
        <f t="shared" si="45"/>
        <v>42.94537950239932</v>
      </c>
      <c r="U49" s="162">
        <f t="shared" si="45"/>
        <v>45.89286459382048</v>
      </c>
      <c r="V49" s="162">
        <f t="shared" si="45"/>
        <v>16.086154496552126</v>
      </c>
      <c r="W49" s="162">
        <f t="shared" si="45"/>
        <v>1.6554143194444446</v>
      </c>
      <c r="X49" s="162">
        <f t="shared" si="45"/>
        <v>0.12373196404569908</v>
      </c>
      <c r="Y49" s="162">
        <f t="shared" si="45"/>
        <v>0</v>
      </c>
      <c r="Z49" s="162">
        <f t="shared" si="45"/>
        <v>0.24699999999999997</v>
      </c>
      <c r="AA49" s="162">
        <f t="shared" si="45"/>
        <v>6.798589644358434</v>
      </c>
      <c r="AB49" s="162">
        <f t="shared" si="45"/>
        <v>6.3306758003472225</v>
      </c>
      <c r="AC49" s="162">
        <f t="shared" si="45"/>
        <v>8.458772800343272</v>
      </c>
      <c r="AD49" s="95"/>
      <c r="AE49" s="95"/>
      <c r="AF49" s="95"/>
      <c r="AG49" s="95"/>
      <c r="AH49" s="95"/>
      <c r="AI49" s="95"/>
    </row>
    <row r="50" spans="1:35" ht="15" customHeight="1">
      <c r="A50" s="155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/>
      <c r="P50" s="160"/>
      <c r="Q50" s="161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94"/>
      <c r="AE50" s="94"/>
      <c r="AF50" s="94"/>
      <c r="AG50" s="94"/>
      <c r="AH50" s="94"/>
      <c r="AI50" s="94"/>
    </row>
    <row r="51" spans="1:35" ht="15" customHeight="1">
      <c r="A51" s="125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/>
      <c r="O51"/>
      <c r="P51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102"/>
      <c r="AE51" s="98"/>
      <c r="AG51" s="98"/>
      <c r="AH51" s="98"/>
      <c r="AI51" s="98"/>
    </row>
    <row r="52" spans="1:35" ht="15" customHeight="1">
      <c r="A52" s="126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/>
      <c r="O52"/>
      <c r="P52"/>
      <c r="Q52" s="12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98"/>
      <c r="AE52" s="98"/>
      <c r="AF52" s="98"/>
      <c r="AG52" s="98"/>
      <c r="AH52" s="98"/>
      <c r="AI52" s="98"/>
    </row>
    <row r="53" spans="1:35" ht="15" customHeight="1">
      <c r="A53" s="126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/>
      <c r="O53"/>
      <c r="P53"/>
      <c r="Q53" s="201">
        <v>0.9</v>
      </c>
      <c r="R53" s="200">
        <f>+(0.9-$Q$41)*(R42-R41)/($Q$42-$Q$41)+R41</f>
        <v>0</v>
      </c>
      <c r="S53" s="200">
        <f aca="true" t="shared" si="46" ref="S53:AC53">+(0.9-$Q$41)*(S42-S41)/($Q$42-$Q$41)+S41</f>
        <v>0</v>
      </c>
      <c r="T53" s="200">
        <f t="shared" si="46"/>
        <v>8.29438870967742</v>
      </c>
      <c r="U53" s="200">
        <f t="shared" si="46"/>
        <v>11.06</v>
      </c>
      <c r="V53" s="200">
        <f t="shared" si="46"/>
        <v>2.6922580645161283</v>
      </c>
      <c r="W53" s="200">
        <f t="shared" si="46"/>
        <v>0</v>
      </c>
      <c r="X53" s="200">
        <f t="shared" si="46"/>
        <v>0</v>
      </c>
      <c r="Y53" s="200">
        <f t="shared" si="46"/>
        <v>0</v>
      </c>
      <c r="Z53" s="200">
        <f t="shared" si="46"/>
        <v>0</v>
      </c>
      <c r="AA53" s="200">
        <f t="shared" si="46"/>
        <v>0</v>
      </c>
      <c r="AB53" s="200">
        <f t="shared" si="46"/>
        <v>0</v>
      </c>
      <c r="AC53" s="200">
        <f t="shared" si="46"/>
        <v>0</v>
      </c>
      <c r="AD53" s="94"/>
      <c r="AE53" s="94"/>
      <c r="AF53" s="94"/>
      <c r="AG53" s="94"/>
      <c r="AH53" s="94"/>
      <c r="AI53" s="94"/>
    </row>
    <row r="54" spans="1:35" ht="15" customHeight="1">
      <c r="A54" s="126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/>
      <c r="O54"/>
      <c r="P54"/>
      <c r="Q54" s="176"/>
      <c r="R54" s="17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75"/>
      <c r="AD54" s="94"/>
      <c r="AE54" s="94"/>
      <c r="AF54" s="94"/>
      <c r="AG54" s="94"/>
      <c r="AH54" s="94"/>
      <c r="AI54" s="94"/>
    </row>
    <row r="55" spans="1:35" ht="15" customHeight="1">
      <c r="A55" s="126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/>
      <c r="O55"/>
      <c r="P55"/>
      <c r="Q55" s="201">
        <v>0.95</v>
      </c>
      <c r="R55" s="199">
        <f>+(0.95-$Q$43)*(R44-R43)/($Q$44-$Q$43)+R43</f>
        <v>0</v>
      </c>
      <c r="S55" s="199">
        <f aca="true" t="shared" si="47" ref="S55:AC55">+(0.95-$Q$43)*(S44-S43)/($Q$44-$Q$43)+S43</f>
        <v>0</v>
      </c>
      <c r="T55" s="199">
        <f t="shared" si="47"/>
        <v>6.51</v>
      </c>
      <c r="U55" s="199">
        <f t="shared" si="47"/>
        <v>7.89</v>
      </c>
      <c r="V55" s="199">
        <f t="shared" si="47"/>
        <v>0</v>
      </c>
      <c r="W55" s="199">
        <f t="shared" si="47"/>
        <v>0</v>
      </c>
      <c r="X55" s="199">
        <f t="shared" si="47"/>
        <v>0</v>
      </c>
      <c r="Y55" s="199">
        <f t="shared" si="47"/>
        <v>0</v>
      </c>
      <c r="Z55" s="199">
        <f t="shared" si="47"/>
        <v>0</v>
      </c>
      <c r="AA55" s="199">
        <f t="shared" si="47"/>
        <v>0</v>
      </c>
      <c r="AB55" s="199">
        <f t="shared" si="47"/>
        <v>0</v>
      </c>
      <c r="AC55" s="199">
        <f t="shared" si="47"/>
        <v>0</v>
      </c>
      <c r="AD55" s="94"/>
      <c r="AE55" s="94"/>
      <c r="AF55" s="94"/>
      <c r="AG55" s="94"/>
      <c r="AH55" s="94"/>
      <c r="AI55" s="94"/>
    </row>
    <row r="56" spans="1:35" ht="15" customHeight="1">
      <c r="A56" s="126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/>
      <c r="O56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94"/>
      <c r="AE56" s="94"/>
      <c r="AF56" s="94"/>
      <c r="AG56" s="94"/>
      <c r="AH56" s="94"/>
      <c r="AI56" s="94"/>
    </row>
    <row r="57" spans="1:35" ht="1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94"/>
      <c r="AE57" s="94"/>
      <c r="AF57" s="94"/>
      <c r="AG57" s="94"/>
      <c r="AH57" s="94"/>
      <c r="AI57" s="94"/>
    </row>
    <row r="58" spans="1:35" ht="1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 s="123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94"/>
      <c r="AE58" s="94"/>
      <c r="AF58" s="94"/>
      <c r="AG58" s="94"/>
      <c r="AH58" s="94"/>
      <c r="AI58" s="94"/>
    </row>
    <row r="59" spans="1:35" ht="15" customHeight="1">
      <c r="A59" s="107" t="s">
        <v>62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R59" s="124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94"/>
      <c r="AE59" s="94"/>
      <c r="AF59" s="94"/>
      <c r="AG59" s="94"/>
      <c r="AH59" s="94"/>
      <c r="AI59" s="94"/>
    </row>
    <row r="60" spans="1:35" ht="15" customHeight="1">
      <c r="A60" s="107" t="s">
        <v>78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8"/>
      <c r="L60" s="107"/>
      <c r="M60" s="107"/>
      <c r="N60" s="107"/>
      <c r="R60" s="124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94"/>
      <c r="AE60" s="94"/>
      <c r="AF60" s="94"/>
      <c r="AG60" s="94"/>
      <c r="AH60" s="94"/>
      <c r="AI60" s="94"/>
    </row>
    <row r="61" spans="1:35" ht="1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R61" s="124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94"/>
      <c r="AE61" s="94"/>
      <c r="AF61" s="94"/>
      <c r="AG61" s="94"/>
      <c r="AH61" s="94"/>
      <c r="AI61" s="94"/>
    </row>
    <row r="62" spans="1:35" ht="15" customHeight="1">
      <c r="A62" s="167" t="s">
        <v>63</v>
      </c>
      <c r="B62" s="165" t="s">
        <v>64</v>
      </c>
      <c r="C62" s="165" t="s">
        <v>65</v>
      </c>
      <c r="D62" s="165" t="s">
        <v>66</v>
      </c>
      <c r="E62" s="165" t="s">
        <v>67</v>
      </c>
      <c r="F62" s="165" t="s">
        <v>68</v>
      </c>
      <c r="G62" s="165" t="s">
        <v>69</v>
      </c>
      <c r="H62" s="165" t="s">
        <v>70</v>
      </c>
      <c r="I62" s="165" t="s">
        <v>71</v>
      </c>
      <c r="J62" s="165" t="s">
        <v>72</v>
      </c>
      <c r="K62" s="165" t="s">
        <v>73</v>
      </c>
      <c r="L62" s="166" t="s">
        <v>74</v>
      </c>
      <c r="M62" s="165" t="s">
        <v>75</v>
      </c>
      <c r="N62" s="165"/>
      <c r="T62" s="100"/>
      <c r="U62" s="96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</row>
    <row r="63" spans="1:35" ht="15" customHeight="1">
      <c r="A63" s="168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4"/>
      <c r="M63" s="113"/>
      <c r="N63" s="113"/>
      <c r="T63" s="100"/>
      <c r="U63" s="96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</row>
    <row r="64" spans="1:35" ht="15" customHeight="1">
      <c r="A64" s="169">
        <v>1965</v>
      </c>
      <c r="B64" s="115">
        <v>22.86</v>
      </c>
      <c r="C64" s="115">
        <v>24.67</v>
      </c>
      <c r="D64" s="115">
        <v>57.54</v>
      </c>
      <c r="E64" s="115">
        <v>68.69</v>
      </c>
      <c r="F64" s="115">
        <v>33.39</v>
      </c>
      <c r="G64" s="115">
        <v>14.96</v>
      </c>
      <c r="H64" s="115">
        <v>12.32</v>
      </c>
      <c r="I64" s="115">
        <v>6.42</v>
      </c>
      <c r="J64" s="115">
        <v>10.38</v>
      </c>
      <c r="K64" s="115">
        <v>24.7</v>
      </c>
      <c r="L64" s="115">
        <v>44.95</v>
      </c>
      <c r="M64" s="196">
        <v>21.53</v>
      </c>
      <c r="N64" s="116"/>
      <c r="T64" s="100"/>
      <c r="U64" s="96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</row>
    <row r="65" spans="1:35" ht="15" customHeight="1">
      <c r="A65" s="169">
        <v>1966</v>
      </c>
      <c r="B65" s="115">
        <v>43.31</v>
      </c>
      <c r="C65" s="115">
        <v>21.27</v>
      </c>
      <c r="D65" s="115">
        <v>29.6</v>
      </c>
      <c r="E65" s="115">
        <v>31.89</v>
      </c>
      <c r="F65" s="115">
        <v>41.12</v>
      </c>
      <c r="G65" s="115">
        <v>15.5</v>
      </c>
      <c r="H65" s="115">
        <v>9.74</v>
      </c>
      <c r="I65" s="115">
        <v>6.15</v>
      </c>
      <c r="J65" s="115">
        <v>7.5</v>
      </c>
      <c r="K65" s="115">
        <v>36.47</v>
      </c>
      <c r="L65" s="115">
        <v>29.6</v>
      </c>
      <c r="M65" s="196">
        <v>15.21</v>
      </c>
      <c r="N65" s="116"/>
      <c r="T65" s="100"/>
      <c r="U65" s="96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</row>
    <row r="66" spans="1:35" ht="15" customHeight="1">
      <c r="A66" s="169">
        <v>1967</v>
      </c>
      <c r="B66" s="115">
        <v>48.23</v>
      </c>
      <c r="C66" s="115">
        <v>73.85</v>
      </c>
      <c r="D66" s="115">
        <v>58.62</v>
      </c>
      <c r="E66" s="115">
        <v>32.12</v>
      </c>
      <c r="F66" s="115">
        <v>27.29</v>
      </c>
      <c r="G66" s="115">
        <v>13.96</v>
      </c>
      <c r="H66" s="115">
        <v>10.21</v>
      </c>
      <c r="I66" s="115">
        <v>6.46</v>
      </c>
      <c r="J66" s="115">
        <v>6.49</v>
      </c>
      <c r="K66" s="115">
        <v>27.21</v>
      </c>
      <c r="L66" s="115">
        <v>18.08</v>
      </c>
      <c r="M66" s="196">
        <v>15.66</v>
      </c>
      <c r="N66" s="116"/>
      <c r="T66" s="100"/>
      <c r="U66" s="96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</row>
    <row r="67" spans="1:35" ht="15" customHeight="1">
      <c r="A67" s="169">
        <v>1968</v>
      </c>
      <c r="B67" s="115">
        <v>12.1</v>
      </c>
      <c r="C67" s="115">
        <v>14.33</v>
      </c>
      <c r="D67" s="115">
        <v>37.98</v>
      </c>
      <c r="E67" s="115">
        <v>16.07</v>
      </c>
      <c r="F67" s="115">
        <v>14.84</v>
      </c>
      <c r="G67" s="115">
        <v>8.09</v>
      </c>
      <c r="H67" s="115">
        <v>8.55</v>
      </c>
      <c r="I67" s="115">
        <v>6.1</v>
      </c>
      <c r="J67" s="115">
        <v>15.34</v>
      </c>
      <c r="K67" s="115">
        <v>47.56</v>
      </c>
      <c r="L67" s="115">
        <v>22.61</v>
      </c>
      <c r="M67" s="196">
        <v>11.57</v>
      </c>
      <c r="N67" s="116"/>
      <c r="T67" s="100"/>
      <c r="U67" s="96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</row>
    <row r="68" spans="1:35" ht="15" customHeight="1">
      <c r="A68" s="169">
        <v>1969</v>
      </c>
      <c r="B68" s="115">
        <v>23.46</v>
      </c>
      <c r="C68" s="115">
        <v>33.79</v>
      </c>
      <c r="D68" s="115">
        <v>53.2</v>
      </c>
      <c r="E68" s="115">
        <v>98.57</v>
      </c>
      <c r="F68" s="115">
        <v>27.69</v>
      </c>
      <c r="G68" s="115">
        <v>21.93</v>
      </c>
      <c r="H68" s="115">
        <v>10.58</v>
      </c>
      <c r="I68" s="115">
        <v>5.62</v>
      </c>
      <c r="J68" s="115">
        <v>9.32</v>
      </c>
      <c r="K68" s="115">
        <v>16.88</v>
      </c>
      <c r="L68" s="115">
        <v>33.9</v>
      </c>
      <c r="M68" s="196">
        <v>52.91</v>
      </c>
      <c r="N68" s="116"/>
      <c r="T68" s="100"/>
      <c r="U68" s="96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</row>
    <row r="69" spans="1:35" ht="15" customHeight="1">
      <c r="A69" s="169">
        <v>1970</v>
      </c>
      <c r="B69" s="115">
        <v>42.84</v>
      </c>
      <c r="C69" s="115">
        <v>23.11</v>
      </c>
      <c r="D69" s="115">
        <v>45.21</v>
      </c>
      <c r="E69" s="115">
        <v>48.45</v>
      </c>
      <c r="F69" s="115">
        <v>68.79</v>
      </c>
      <c r="G69" s="115">
        <v>26.05</v>
      </c>
      <c r="H69" s="115">
        <v>11.87</v>
      </c>
      <c r="I69" s="115">
        <v>5.92</v>
      </c>
      <c r="J69" s="115">
        <v>12.58</v>
      </c>
      <c r="K69" s="115">
        <v>41.86</v>
      </c>
      <c r="L69" s="115">
        <v>36.15</v>
      </c>
      <c r="M69" s="196">
        <v>51.7</v>
      </c>
      <c r="N69" s="116"/>
      <c r="T69" s="100"/>
      <c r="U69" s="96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</row>
    <row r="70" spans="1:35" ht="15" customHeight="1">
      <c r="A70" s="169">
        <v>1971</v>
      </c>
      <c r="B70" s="115">
        <v>51.01</v>
      </c>
      <c r="C70" s="115">
        <v>62.2</v>
      </c>
      <c r="D70" s="115">
        <v>106.02</v>
      </c>
      <c r="E70" s="115">
        <v>104.62</v>
      </c>
      <c r="F70" s="115">
        <v>45.91</v>
      </c>
      <c r="G70" s="115">
        <v>30</v>
      </c>
      <c r="H70" s="115">
        <v>13.14</v>
      </c>
      <c r="I70" s="115">
        <v>3.07</v>
      </c>
      <c r="J70" s="115">
        <v>18.84</v>
      </c>
      <c r="K70" s="115">
        <v>54.32</v>
      </c>
      <c r="L70" s="115">
        <v>39.15</v>
      </c>
      <c r="M70" s="196">
        <v>41.59</v>
      </c>
      <c r="N70" s="116"/>
      <c r="T70" s="100"/>
      <c r="U70" s="96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</row>
    <row r="71" spans="1:35" ht="15" customHeight="1">
      <c r="A71" s="169">
        <v>1972</v>
      </c>
      <c r="B71" s="115">
        <v>46.12</v>
      </c>
      <c r="C71" s="115">
        <v>28.01</v>
      </c>
      <c r="D71" s="115">
        <v>83.38</v>
      </c>
      <c r="E71" s="115">
        <v>67.28</v>
      </c>
      <c r="F71" s="115">
        <v>37.11</v>
      </c>
      <c r="G71" s="115">
        <v>20.36</v>
      </c>
      <c r="H71" s="115">
        <v>11.83</v>
      </c>
      <c r="I71" s="115">
        <v>5.15</v>
      </c>
      <c r="J71" s="115">
        <v>10.42</v>
      </c>
      <c r="K71" s="115">
        <v>16.71</v>
      </c>
      <c r="L71" s="115">
        <v>17.71</v>
      </c>
      <c r="M71" s="196">
        <v>26.01</v>
      </c>
      <c r="N71" s="116"/>
      <c r="T71" s="100"/>
      <c r="U71" s="96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</row>
    <row r="72" spans="1:35" ht="15" customHeight="1">
      <c r="A72" s="169">
        <v>1973</v>
      </c>
      <c r="B72" s="115">
        <v>29.08</v>
      </c>
      <c r="C72" s="115">
        <v>27.79</v>
      </c>
      <c r="D72" s="115">
        <v>52.31</v>
      </c>
      <c r="E72" s="115">
        <v>135.27</v>
      </c>
      <c r="F72" s="115">
        <v>50.83</v>
      </c>
      <c r="G72" s="115">
        <v>30.15</v>
      </c>
      <c r="H72" s="115">
        <v>19.62</v>
      </c>
      <c r="I72" s="115">
        <v>4.74</v>
      </c>
      <c r="J72" s="115">
        <v>31.29</v>
      </c>
      <c r="K72" s="115">
        <v>40.37</v>
      </c>
      <c r="L72" s="115">
        <v>44.95</v>
      </c>
      <c r="M72" s="196">
        <v>31.86</v>
      </c>
      <c r="N72" s="116"/>
      <c r="T72" s="100"/>
      <c r="U72" s="96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</row>
    <row r="73" spans="1:35" ht="15" customHeight="1">
      <c r="A73" s="169">
        <v>1974</v>
      </c>
      <c r="B73" s="115">
        <v>46.99</v>
      </c>
      <c r="C73" s="115">
        <v>69.75</v>
      </c>
      <c r="D73" s="115">
        <v>52.94</v>
      </c>
      <c r="E73" s="115">
        <v>39.24</v>
      </c>
      <c r="F73" s="115">
        <v>30.55</v>
      </c>
      <c r="G73" s="115">
        <v>22.56</v>
      </c>
      <c r="H73" s="115">
        <v>12.18</v>
      </c>
      <c r="I73" s="115">
        <v>4.84</v>
      </c>
      <c r="J73" s="115">
        <v>17.43</v>
      </c>
      <c r="K73" s="115">
        <v>49.98</v>
      </c>
      <c r="L73" s="115">
        <v>29.31</v>
      </c>
      <c r="M73" s="196">
        <v>32.41</v>
      </c>
      <c r="N73" s="116"/>
      <c r="T73" s="100"/>
      <c r="U73" s="96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</row>
    <row r="74" spans="1:35" ht="15" customHeight="1">
      <c r="A74" s="169">
        <v>1975</v>
      </c>
      <c r="B74" s="115">
        <v>61.86</v>
      </c>
      <c r="C74" s="115">
        <v>75.46</v>
      </c>
      <c r="D74" s="115">
        <v>111.58</v>
      </c>
      <c r="E74" s="115">
        <v>119.98</v>
      </c>
      <c r="F74" s="115">
        <v>57.93</v>
      </c>
      <c r="G74" s="115">
        <v>31.2</v>
      </c>
      <c r="H74" s="115">
        <v>16.99</v>
      </c>
      <c r="I74" s="115">
        <v>4.65</v>
      </c>
      <c r="J74" s="115">
        <v>26.59</v>
      </c>
      <c r="K74" s="115">
        <v>64.13</v>
      </c>
      <c r="L74" s="115">
        <v>32.55</v>
      </c>
      <c r="M74" s="196">
        <v>16.85</v>
      </c>
      <c r="N74" s="116"/>
      <c r="T74" s="100"/>
      <c r="U74" s="96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</row>
    <row r="75" spans="1:35" ht="15" customHeight="1">
      <c r="A75" s="169">
        <v>1976</v>
      </c>
      <c r="B75" s="115">
        <v>45.37</v>
      </c>
      <c r="C75" s="115">
        <v>53.98</v>
      </c>
      <c r="D75" s="115">
        <v>61.39</v>
      </c>
      <c r="E75" s="115">
        <v>69.68</v>
      </c>
      <c r="F75" s="115">
        <v>36.59</v>
      </c>
      <c r="G75" s="115">
        <v>28.6</v>
      </c>
      <c r="H75" s="115">
        <v>12.21</v>
      </c>
      <c r="I75" s="115">
        <v>4.7</v>
      </c>
      <c r="J75" s="115">
        <v>8.07</v>
      </c>
      <c r="K75" s="115">
        <v>7.18</v>
      </c>
      <c r="L75" s="115">
        <v>9.11</v>
      </c>
      <c r="M75" s="196">
        <v>11.69</v>
      </c>
      <c r="N75" s="116"/>
      <c r="T75" s="100"/>
      <c r="U75" s="96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</row>
    <row r="76" spans="1:35" ht="15" customHeight="1">
      <c r="A76" s="169">
        <v>1977</v>
      </c>
      <c r="B76" s="115">
        <v>30.77</v>
      </c>
      <c r="C76" s="115">
        <v>90.73</v>
      </c>
      <c r="D76" s="115">
        <v>66.83</v>
      </c>
      <c r="E76" s="115">
        <v>62.84</v>
      </c>
      <c r="F76" s="115">
        <v>37.33</v>
      </c>
      <c r="G76" s="115">
        <v>22.67</v>
      </c>
      <c r="H76" s="115">
        <v>11.66</v>
      </c>
      <c r="I76" s="115">
        <v>6.08</v>
      </c>
      <c r="J76" s="115">
        <v>9.46</v>
      </c>
      <c r="K76" s="115">
        <v>12.29</v>
      </c>
      <c r="L76" s="115">
        <v>20.09</v>
      </c>
      <c r="M76" s="196">
        <v>29.83</v>
      </c>
      <c r="N76" s="116"/>
      <c r="T76" s="100"/>
      <c r="U76" s="96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</row>
    <row r="77" spans="1:35" ht="15" customHeight="1">
      <c r="A77" s="169">
        <v>1978</v>
      </c>
      <c r="B77" s="115">
        <v>14.4</v>
      </c>
      <c r="C77" s="115">
        <v>15.54</v>
      </c>
      <c r="D77" s="115">
        <v>30.65</v>
      </c>
      <c r="E77" s="115">
        <v>37.44</v>
      </c>
      <c r="F77" s="115">
        <v>44.41</v>
      </c>
      <c r="G77" s="115">
        <v>19</v>
      </c>
      <c r="H77" s="115">
        <v>10.91</v>
      </c>
      <c r="I77" s="115">
        <v>6.11</v>
      </c>
      <c r="J77" s="115">
        <v>10.38</v>
      </c>
      <c r="K77" s="115">
        <v>9.68</v>
      </c>
      <c r="L77" s="115">
        <v>18.02</v>
      </c>
      <c r="M77" s="196">
        <v>21.08</v>
      </c>
      <c r="N77" s="116"/>
      <c r="T77" s="100"/>
      <c r="U77" s="96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</row>
    <row r="78" spans="1:35" ht="15" customHeight="1">
      <c r="A78" s="169">
        <v>1979</v>
      </c>
      <c r="B78" s="115">
        <v>28.47</v>
      </c>
      <c r="C78" s="115">
        <v>23.73</v>
      </c>
      <c r="D78" s="115">
        <v>81.1</v>
      </c>
      <c r="E78" s="115">
        <v>50.99</v>
      </c>
      <c r="F78" s="115">
        <v>36.89</v>
      </c>
      <c r="G78" s="115">
        <v>18.46</v>
      </c>
      <c r="H78" s="115">
        <v>12.15</v>
      </c>
      <c r="I78" s="115">
        <v>6.94</v>
      </c>
      <c r="J78" s="115">
        <v>16.99</v>
      </c>
      <c r="K78" s="115">
        <v>10.61</v>
      </c>
      <c r="L78" s="115">
        <v>9.58</v>
      </c>
      <c r="M78" s="196">
        <v>9.62</v>
      </c>
      <c r="N78" s="116"/>
      <c r="T78" s="100"/>
      <c r="U78" s="96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</row>
    <row r="79" spans="1:35" ht="15" customHeight="1">
      <c r="A79" s="169">
        <v>1980</v>
      </c>
      <c r="B79" s="115">
        <v>8.14</v>
      </c>
      <c r="C79" s="115">
        <v>15.83</v>
      </c>
      <c r="D79" s="115">
        <v>29.38</v>
      </c>
      <c r="E79" s="115">
        <v>28.06</v>
      </c>
      <c r="F79" s="115">
        <v>17.32</v>
      </c>
      <c r="G79" s="115">
        <v>11.88</v>
      </c>
      <c r="H79" s="115">
        <v>8.33</v>
      </c>
      <c r="I79" s="115">
        <v>6.11</v>
      </c>
      <c r="J79" s="115">
        <v>5.09</v>
      </c>
      <c r="K79" s="115">
        <v>29.28</v>
      </c>
      <c r="L79" s="115">
        <v>40.61</v>
      </c>
      <c r="M79" s="196">
        <v>37.32</v>
      </c>
      <c r="N79" s="116"/>
      <c r="T79" s="100"/>
      <c r="U79" s="96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</row>
    <row r="80" spans="1:35" ht="15" customHeight="1">
      <c r="A80" s="169">
        <v>1981</v>
      </c>
      <c r="B80" s="115">
        <v>16.91</v>
      </c>
      <c r="C80" s="115">
        <v>71.43</v>
      </c>
      <c r="D80" s="115">
        <v>53.19</v>
      </c>
      <c r="E80" s="115">
        <v>47.57</v>
      </c>
      <c r="F80" s="115">
        <v>20.57</v>
      </c>
      <c r="G80" s="115">
        <v>22.24</v>
      </c>
      <c r="H80" s="115">
        <v>10.85</v>
      </c>
      <c r="I80" s="115">
        <v>5.08</v>
      </c>
      <c r="J80" s="115">
        <v>7.64</v>
      </c>
      <c r="K80" s="115">
        <v>25.26</v>
      </c>
      <c r="L80" s="115">
        <v>29.63</v>
      </c>
      <c r="M80" s="196">
        <v>34.15</v>
      </c>
      <c r="N80" s="116"/>
      <c r="T80" s="100"/>
      <c r="U80" s="96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</row>
    <row r="81" spans="1:35" ht="15" customHeight="1">
      <c r="A81" s="169">
        <v>1982</v>
      </c>
      <c r="B81" s="115">
        <v>25.99</v>
      </c>
      <c r="C81" s="115">
        <v>39.42</v>
      </c>
      <c r="D81" s="115">
        <v>32.95</v>
      </c>
      <c r="E81" s="115">
        <v>53.08</v>
      </c>
      <c r="F81" s="115">
        <v>43.04</v>
      </c>
      <c r="G81" s="115">
        <v>21.92</v>
      </c>
      <c r="H81" s="115">
        <v>11.88</v>
      </c>
      <c r="I81" s="115">
        <v>6.29</v>
      </c>
      <c r="J81" s="115">
        <v>11.25</v>
      </c>
      <c r="K81" s="115">
        <v>44.31</v>
      </c>
      <c r="L81" s="115">
        <v>35.91</v>
      </c>
      <c r="M81" s="196">
        <v>71.5</v>
      </c>
      <c r="N81" s="116"/>
      <c r="T81" s="100"/>
      <c r="U81" s="96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</row>
    <row r="82" spans="1:35" ht="15" customHeight="1">
      <c r="A82" s="169">
        <v>1983</v>
      </c>
      <c r="B82" s="115">
        <v>76.87</v>
      </c>
      <c r="C82" s="115">
        <v>41.15</v>
      </c>
      <c r="D82" s="115">
        <v>79.15</v>
      </c>
      <c r="E82" s="115">
        <v>108.64</v>
      </c>
      <c r="F82" s="115">
        <v>68.88</v>
      </c>
      <c r="G82" s="115">
        <v>30.75</v>
      </c>
      <c r="H82" s="115">
        <v>12.03</v>
      </c>
      <c r="I82" s="115">
        <v>5.34</v>
      </c>
      <c r="J82" s="115">
        <v>13.47</v>
      </c>
      <c r="K82" s="115">
        <v>15.54</v>
      </c>
      <c r="L82" s="115">
        <v>12.88</v>
      </c>
      <c r="M82" s="196">
        <v>32.16</v>
      </c>
      <c r="N82" s="116"/>
      <c r="T82" s="100"/>
      <c r="U82" s="96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</row>
    <row r="83" spans="1:35" ht="15" customHeight="1">
      <c r="A83" s="169">
        <v>1984</v>
      </c>
      <c r="B83" s="115">
        <v>18.12</v>
      </c>
      <c r="C83" s="115">
        <v>110.99</v>
      </c>
      <c r="D83" s="115">
        <v>86.25</v>
      </c>
      <c r="E83" s="115">
        <v>68.19</v>
      </c>
      <c r="F83" s="115">
        <v>63.46</v>
      </c>
      <c r="G83" s="115">
        <v>28.41</v>
      </c>
      <c r="H83" s="115">
        <v>17.13</v>
      </c>
      <c r="I83" s="115">
        <v>5.77</v>
      </c>
      <c r="J83" s="115">
        <v>15.07</v>
      </c>
      <c r="K83" s="115">
        <v>50.62</v>
      </c>
      <c r="L83" s="115">
        <v>23.41</v>
      </c>
      <c r="M83" s="196">
        <v>26.37</v>
      </c>
      <c r="N83" s="116"/>
      <c r="T83" s="100"/>
      <c r="U83" s="96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</row>
    <row r="84" spans="1:35" ht="15" customHeight="1">
      <c r="A84" s="169">
        <v>1985</v>
      </c>
      <c r="B84" s="115">
        <v>16.17</v>
      </c>
      <c r="C84" s="115">
        <v>17.78</v>
      </c>
      <c r="D84" s="115">
        <v>30.51</v>
      </c>
      <c r="E84" s="115">
        <v>19.25</v>
      </c>
      <c r="F84" s="115">
        <v>16.78</v>
      </c>
      <c r="G84" s="115">
        <v>10.16</v>
      </c>
      <c r="H84" s="115">
        <v>8.58</v>
      </c>
      <c r="I84" s="115">
        <v>6.2</v>
      </c>
      <c r="J84" s="115">
        <v>9.54</v>
      </c>
      <c r="K84" s="115">
        <v>22.29</v>
      </c>
      <c r="L84" s="115">
        <v>10.52</v>
      </c>
      <c r="M84" s="196">
        <v>19.46</v>
      </c>
      <c r="N84" s="116"/>
      <c r="T84" s="100"/>
      <c r="U84" s="96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</row>
    <row r="85" spans="1:35" ht="15" customHeight="1">
      <c r="A85" s="169">
        <v>1986</v>
      </c>
      <c r="B85" s="115">
        <v>34.74</v>
      </c>
      <c r="C85" s="115">
        <v>42.02</v>
      </c>
      <c r="D85" s="115">
        <v>34.02</v>
      </c>
      <c r="E85" s="115">
        <v>89.93</v>
      </c>
      <c r="F85" s="115">
        <v>47.21</v>
      </c>
      <c r="G85" s="115">
        <v>18.3</v>
      </c>
      <c r="H85" s="115">
        <v>11.37</v>
      </c>
      <c r="I85" s="115">
        <v>5.21</v>
      </c>
      <c r="J85" s="115">
        <v>9.1</v>
      </c>
      <c r="K85" s="115">
        <v>16.41</v>
      </c>
      <c r="L85" s="115">
        <v>35.82</v>
      </c>
      <c r="M85" s="196">
        <v>31.65</v>
      </c>
      <c r="N85" s="116"/>
      <c r="T85" s="100"/>
      <c r="U85" s="96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</row>
    <row r="86" spans="1:35" ht="15" customHeight="1">
      <c r="A86" s="169">
        <v>1987</v>
      </c>
      <c r="B86" s="115">
        <v>83.57</v>
      </c>
      <c r="C86" s="115">
        <v>67.9</v>
      </c>
      <c r="D86" s="115">
        <v>39.72</v>
      </c>
      <c r="E86" s="115">
        <v>29.37</v>
      </c>
      <c r="F86" s="115">
        <v>28.7</v>
      </c>
      <c r="G86" s="115">
        <v>12.59</v>
      </c>
      <c r="H86" s="115">
        <v>9.95</v>
      </c>
      <c r="I86" s="115">
        <v>5</v>
      </c>
      <c r="J86" s="115">
        <v>12.97</v>
      </c>
      <c r="K86" s="115">
        <v>18.09</v>
      </c>
      <c r="L86" s="115">
        <v>21.79</v>
      </c>
      <c r="M86" s="196">
        <v>16.71</v>
      </c>
      <c r="N86" s="116"/>
      <c r="T86" s="100"/>
      <c r="U86" s="96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</row>
    <row r="87" spans="1:35" ht="15" customHeight="1">
      <c r="A87" s="169">
        <v>1988</v>
      </c>
      <c r="B87" s="115">
        <v>36.98</v>
      </c>
      <c r="C87" s="115">
        <v>64.36</v>
      </c>
      <c r="D87" s="115">
        <v>39.13</v>
      </c>
      <c r="E87" s="115">
        <v>52.98</v>
      </c>
      <c r="F87" s="115">
        <v>37.61</v>
      </c>
      <c r="G87" s="115">
        <v>20.74</v>
      </c>
      <c r="H87" s="115">
        <v>11.64</v>
      </c>
      <c r="I87" s="115">
        <v>6.69</v>
      </c>
      <c r="J87" s="115">
        <v>10.49</v>
      </c>
      <c r="K87" s="115">
        <v>20.17</v>
      </c>
      <c r="L87" s="115">
        <v>35.13</v>
      </c>
      <c r="M87" s="196">
        <v>20.74</v>
      </c>
      <c r="N87" s="116"/>
      <c r="T87" s="100"/>
      <c r="U87" s="96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</row>
    <row r="88" spans="1:35" ht="15" customHeight="1">
      <c r="A88" s="169">
        <v>1989</v>
      </c>
      <c r="B88" s="115">
        <v>69.06</v>
      </c>
      <c r="C88" s="115">
        <v>100.27</v>
      </c>
      <c r="D88" s="115">
        <v>75.53</v>
      </c>
      <c r="E88" s="115">
        <v>93.64</v>
      </c>
      <c r="F88" s="115">
        <v>31.51</v>
      </c>
      <c r="G88" s="115">
        <v>16.42</v>
      </c>
      <c r="H88" s="115">
        <v>10.62</v>
      </c>
      <c r="I88" s="115">
        <v>7.39</v>
      </c>
      <c r="J88" s="115">
        <v>11.87</v>
      </c>
      <c r="K88" s="115">
        <v>42.55</v>
      </c>
      <c r="L88" s="115">
        <v>21.51</v>
      </c>
      <c r="M88" s="196">
        <v>13.6</v>
      </c>
      <c r="N88" s="116"/>
      <c r="T88" s="100"/>
      <c r="U88" s="96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</row>
    <row r="89" spans="1:35" ht="15" customHeight="1">
      <c r="A89" s="169">
        <v>1990</v>
      </c>
      <c r="B89" s="115">
        <v>8.76</v>
      </c>
      <c r="C89" s="115">
        <v>28.45</v>
      </c>
      <c r="D89" s="115">
        <v>27.33</v>
      </c>
      <c r="E89" s="115">
        <v>35.06</v>
      </c>
      <c r="F89" s="115">
        <v>30.51</v>
      </c>
      <c r="G89" s="115">
        <v>29.14</v>
      </c>
      <c r="H89" s="115">
        <v>12.67</v>
      </c>
      <c r="I89" s="115">
        <v>6.9</v>
      </c>
      <c r="J89" s="115">
        <v>6.94</v>
      </c>
      <c r="K89" s="115">
        <v>29.34</v>
      </c>
      <c r="L89" s="115">
        <v>30.65</v>
      </c>
      <c r="M89" s="196">
        <v>36.06</v>
      </c>
      <c r="N89" s="116"/>
      <c r="T89" s="100"/>
      <c r="U89" s="96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</row>
    <row r="90" spans="1:35" ht="15" customHeight="1">
      <c r="A90" s="169">
        <v>1991</v>
      </c>
      <c r="B90" s="115">
        <v>14.03</v>
      </c>
      <c r="C90" s="115">
        <v>27.18</v>
      </c>
      <c r="D90" s="115">
        <v>84.86</v>
      </c>
      <c r="E90" s="115">
        <v>57.59</v>
      </c>
      <c r="F90" s="115">
        <v>48.36</v>
      </c>
      <c r="G90" s="115">
        <v>14.21</v>
      </c>
      <c r="H90" s="115">
        <v>8.23</v>
      </c>
      <c r="I90" s="115">
        <v>5.58</v>
      </c>
      <c r="J90" s="115">
        <v>5.45</v>
      </c>
      <c r="K90" s="115">
        <v>7.08</v>
      </c>
      <c r="L90" s="115">
        <v>11.01</v>
      </c>
      <c r="M90" s="196">
        <v>15.09</v>
      </c>
      <c r="N90" s="116"/>
      <c r="T90" s="100"/>
      <c r="U90" s="96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</row>
    <row r="91" spans="1:35" ht="15" customHeight="1">
      <c r="A91" s="169">
        <v>1992</v>
      </c>
      <c r="B91" s="115">
        <v>25.16</v>
      </c>
      <c r="C91" s="115">
        <v>14.67</v>
      </c>
      <c r="D91" s="115">
        <v>29.92</v>
      </c>
      <c r="E91" s="115">
        <v>52.47</v>
      </c>
      <c r="F91" s="115">
        <v>31.04</v>
      </c>
      <c r="G91" s="115">
        <v>18.88</v>
      </c>
      <c r="H91" s="115">
        <v>8.72</v>
      </c>
      <c r="I91" s="115">
        <v>5.82</v>
      </c>
      <c r="J91" s="115">
        <v>9.79</v>
      </c>
      <c r="K91" s="115">
        <v>19.33</v>
      </c>
      <c r="L91" s="115">
        <v>14.39</v>
      </c>
      <c r="M91" s="196">
        <v>9.8</v>
      </c>
      <c r="N91" s="116"/>
      <c r="T91" s="98"/>
      <c r="U91" s="96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</row>
    <row r="92" spans="1:21" ht="15" customHeight="1">
      <c r="A92" s="169">
        <v>1993</v>
      </c>
      <c r="B92" s="115">
        <v>14.41</v>
      </c>
      <c r="C92" s="115">
        <v>46.18</v>
      </c>
      <c r="D92" s="115">
        <v>64.18</v>
      </c>
      <c r="E92" s="115">
        <v>121.17</v>
      </c>
      <c r="F92" s="115">
        <v>58.1</v>
      </c>
      <c r="G92" s="115">
        <v>25.46</v>
      </c>
      <c r="H92" s="115">
        <v>13.64</v>
      </c>
      <c r="I92" s="115">
        <v>8.6</v>
      </c>
      <c r="J92" s="115">
        <v>10.31</v>
      </c>
      <c r="K92" s="115">
        <v>32.79</v>
      </c>
      <c r="L92" s="115">
        <v>49.57</v>
      </c>
      <c r="M92" s="196">
        <v>24.91</v>
      </c>
      <c r="N92" s="116"/>
      <c r="U92" s="104"/>
    </row>
    <row r="93" spans="1:35" ht="15" customHeight="1">
      <c r="A93" s="169">
        <v>1994</v>
      </c>
      <c r="B93" s="115">
        <v>66.99</v>
      </c>
      <c r="C93" s="115">
        <v>74.49</v>
      </c>
      <c r="D93" s="115">
        <v>98.44</v>
      </c>
      <c r="E93" s="115">
        <v>91.4</v>
      </c>
      <c r="F93" s="115">
        <v>38.09</v>
      </c>
      <c r="G93" s="115">
        <v>20.27</v>
      </c>
      <c r="H93" s="115">
        <v>11.26</v>
      </c>
      <c r="I93" s="115">
        <v>6.64</v>
      </c>
      <c r="J93" s="115">
        <v>6.39</v>
      </c>
      <c r="K93" s="115">
        <v>7.1</v>
      </c>
      <c r="L93" s="115">
        <v>21.39</v>
      </c>
      <c r="M93" s="196">
        <v>34.63</v>
      </c>
      <c r="N93" s="116"/>
      <c r="U93" s="98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</row>
    <row r="94" spans="1:35" ht="15" customHeight="1">
      <c r="A94" s="169">
        <v>1995</v>
      </c>
      <c r="B94" s="115">
        <v>17.45</v>
      </c>
      <c r="C94" s="115">
        <v>46.48</v>
      </c>
      <c r="D94" s="115">
        <v>44.72</v>
      </c>
      <c r="E94" s="115">
        <v>52.23</v>
      </c>
      <c r="F94" s="115">
        <v>27.68</v>
      </c>
      <c r="G94" s="115">
        <v>13.96</v>
      </c>
      <c r="H94" s="115">
        <v>10.1</v>
      </c>
      <c r="I94" s="115">
        <v>7.26</v>
      </c>
      <c r="J94" s="115">
        <v>5.97</v>
      </c>
      <c r="K94" s="115">
        <v>13.84</v>
      </c>
      <c r="L94" s="115">
        <v>38.28</v>
      </c>
      <c r="M94" s="196">
        <v>41.3</v>
      </c>
      <c r="N94" s="116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</row>
    <row r="95" spans="1:35" ht="15" customHeight="1">
      <c r="A95" s="169">
        <v>1996</v>
      </c>
      <c r="B95" s="109">
        <v>54.77</v>
      </c>
      <c r="C95" s="109">
        <v>76.45</v>
      </c>
      <c r="D95" s="109">
        <v>96.57</v>
      </c>
      <c r="E95" s="109">
        <v>73.18</v>
      </c>
      <c r="F95" s="109">
        <v>33.3</v>
      </c>
      <c r="G95" s="109">
        <v>19.11</v>
      </c>
      <c r="H95" s="109">
        <v>10.82</v>
      </c>
      <c r="I95" s="109">
        <v>7.91</v>
      </c>
      <c r="J95" s="109">
        <v>7.95</v>
      </c>
      <c r="K95" s="109">
        <v>27.69</v>
      </c>
      <c r="L95" s="109">
        <v>25.89</v>
      </c>
      <c r="M95" s="196">
        <v>12.41</v>
      </c>
      <c r="N95" s="116"/>
      <c r="U95" s="96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</row>
    <row r="96" spans="1:35" ht="15" customHeight="1">
      <c r="A96" s="169">
        <v>1997</v>
      </c>
      <c r="B96" s="117">
        <v>10.71483870967742</v>
      </c>
      <c r="C96" s="117">
        <v>58.53137931034482</v>
      </c>
      <c r="D96" s="117">
        <v>37.32709677419354</v>
      </c>
      <c r="E96" s="117">
        <v>40.33233333333333</v>
      </c>
      <c r="F96" s="117">
        <v>26.69225806451613</v>
      </c>
      <c r="G96" s="117">
        <v>13.025</v>
      </c>
      <c r="H96" s="117">
        <v>7.652580645161288</v>
      </c>
      <c r="I96" s="117">
        <v>5.026774193548388</v>
      </c>
      <c r="J96" s="117">
        <v>4.7570000000000014</v>
      </c>
      <c r="K96" s="117">
        <v>6.8683870967741925</v>
      </c>
      <c r="L96" s="117">
        <v>22.202999999999992</v>
      </c>
      <c r="M96" s="196">
        <v>43.47161290322581</v>
      </c>
      <c r="N96" s="116"/>
      <c r="U96" s="96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</row>
    <row r="97" spans="1:35" ht="15" customHeight="1">
      <c r="A97" s="169">
        <v>1998</v>
      </c>
      <c r="B97" s="117">
        <v>59.32587096774192</v>
      </c>
      <c r="C97" s="117">
        <v>64.95892857142856</v>
      </c>
      <c r="D97" s="117">
        <v>92.64087096774195</v>
      </c>
      <c r="E97" s="117">
        <v>135.28633333333332</v>
      </c>
      <c r="F97" s="117">
        <v>56.15838709677419</v>
      </c>
      <c r="G97" s="117">
        <v>21.18033333333333</v>
      </c>
      <c r="H97" s="117">
        <v>10.37032258064516</v>
      </c>
      <c r="I97" s="117">
        <v>7.393548387096774</v>
      </c>
      <c r="J97" s="117">
        <v>8.822166666666666</v>
      </c>
      <c r="K97" s="117">
        <v>12.55774193548387</v>
      </c>
      <c r="L97" s="117">
        <v>22.076833333333337</v>
      </c>
      <c r="M97" s="196">
        <v>10.220322580645163</v>
      </c>
      <c r="N97" s="116"/>
      <c r="U97" s="96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</row>
    <row r="98" spans="1:14" ht="15" customHeight="1">
      <c r="A98" s="170">
        <v>1999</v>
      </c>
      <c r="B98" s="118">
        <v>23.874838709677423</v>
      </c>
      <c r="C98" s="118">
        <v>97.12571428571428</v>
      </c>
      <c r="D98" s="118">
        <v>62.806451612903224</v>
      </c>
      <c r="E98" s="118">
        <v>76.04466666666667</v>
      </c>
      <c r="F98" s="118">
        <v>55.23603884408603</v>
      </c>
      <c r="G98" s="118">
        <v>41.866201944444455</v>
      </c>
      <c r="H98" s="118">
        <v>28.949278561827963</v>
      </c>
      <c r="I98" s="118">
        <v>13.015975134408599</v>
      </c>
      <c r="J98" s="118">
        <v>18.85575833333333</v>
      </c>
      <c r="K98" s="118">
        <v>32.47227016129032</v>
      </c>
      <c r="L98" s="118">
        <v>16.084698680555555</v>
      </c>
      <c r="M98" s="196">
        <v>39.386598252688174</v>
      </c>
      <c r="N98" s="119"/>
    </row>
    <row r="99" spans="1:36" s="54" customFormat="1" ht="15" customHeight="1">
      <c r="A99" s="170">
        <v>2000</v>
      </c>
      <c r="B99" s="120">
        <v>17.125331317204303</v>
      </c>
      <c r="C99" s="120">
        <v>52.41513534482759</v>
      </c>
      <c r="D99" s="120">
        <v>89.06555913978495</v>
      </c>
      <c r="E99" s="120">
        <v>86.05189722222222</v>
      </c>
      <c r="F99" s="120">
        <v>66.37361021505379</v>
      </c>
      <c r="G99" s="120">
        <v>28.59037083333333</v>
      </c>
      <c r="H99" s="120">
        <v>15.791726075268821</v>
      </c>
      <c r="I99" s="120">
        <v>10.802905241935482</v>
      </c>
      <c r="J99" s="120">
        <v>13.441173611111113</v>
      </c>
      <c r="K99" s="120">
        <v>11.588558252688172</v>
      </c>
      <c r="L99" s="120">
        <v>6.706037916666667</v>
      </c>
      <c r="M99" s="196">
        <v>32.70671706989247</v>
      </c>
      <c r="N99" s="116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</row>
    <row r="100" spans="1:35" ht="15" customHeight="1">
      <c r="A100" s="170">
        <v>2001</v>
      </c>
      <c r="B100" s="120">
        <v>53.81852486559139</v>
      </c>
      <c r="C100" s="120">
        <v>42.486026636904754</v>
      </c>
      <c r="D100" s="120">
        <v>132.4004268298434</v>
      </c>
      <c r="E100" s="120">
        <v>97.94776216959063</v>
      </c>
      <c r="F100" s="120">
        <v>38.7058316093969</v>
      </c>
      <c r="G100" s="120">
        <v>22.702530069444443</v>
      </c>
      <c r="H100" s="120">
        <v>11.307327422276765</v>
      </c>
      <c r="I100" s="120">
        <v>6.991641397849461</v>
      </c>
      <c r="J100" s="120">
        <v>16.97765625</v>
      </c>
      <c r="K100" s="120">
        <v>13.291024193548385</v>
      </c>
      <c r="L100" s="120">
        <v>28.203989027777784</v>
      </c>
      <c r="M100" s="196">
        <v>36.0174684139785</v>
      </c>
      <c r="N100" s="116"/>
      <c r="T100" s="103"/>
      <c r="U100" s="104"/>
      <c r="Z100" s="98"/>
      <c r="AA100" s="98"/>
      <c r="AB100" s="98"/>
      <c r="AC100" s="98"/>
      <c r="AD100" s="102"/>
      <c r="AE100" s="98"/>
      <c r="AG100" s="98"/>
      <c r="AH100" s="98"/>
      <c r="AI100" s="98"/>
    </row>
    <row r="101" spans="1:35" ht="15" customHeight="1">
      <c r="A101" s="170">
        <v>2002</v>
      </c>
      <c r="B101" s="120">
        <v>26.01022379032258</v>
      </c>
      <c r="C101" s="120">
        <v>43.97474107142857</v>
      </c>
      <c r="D101" s="120">
        <v>99.70008633064518</v>
      </c>
      <c r="E101" s="120">
        <v>83.0769911965045</v>
      </c>
      <c r="F101" s="120">
        <v>30.496904905913983</v>
      </c>
      <c r="G101" s="120">
        <v>17.47098770833333</v>
      </c>
      <c r="H101" s="120">
        <v>10.33217459677419</v>
      </c>
      <c r="I101" s="120">
        <v>6.190820698924729</v>
      </c>
      <c r="J101" s="120">
        <v>5.616584166666667</v>
      </c>
      <c r="K101" s="120">
        <v>15.315190188172041</v>
      </c>
      <c r="L101" s="120">
        <v>36.291774999999994</v>
      </c>
      <c r="M101" s="196">
        <v>27.68346532948633</v>
      </c>
      <c r="N101" s="116"/>
      <c r="U101" s="104"/>
      <c r="Z101" s="98"/>
      <c r="AA101" s="98"/>
      <c r="AB101" s="98"/>
      <c r="AC101" s="98"/>
      <c r="AD101" s="102"/>
      <c r="AE101" s="98"/>
      <c r="AG101" s="98"/>
      <c r="AH101" s="98"/>
      <c r="AI101" s="98"/>
    </row>
    <row r="102" spans="1:35" ht="15" customHeight="1">
      <c r="A102" s="170">
        <v>2003</v>
      </c>
      <c r="B102" s="120">
        <v>23.43997802419355</v>
      </c>
      <c r="C102" s="120">
        <v>56.135559523809526</v>
      </c>
      <c r="D102" s="120">
        <v>42.00108266129033</v>
      </c>
      <c r="E102" s="120">
        <v>57.447048125</v>
      </c>
      <c r="F102" s="120">
        <v>33.56223991935484</v>
      </c>
      <c r="G102" s="120">
        <v>23.748509791666667</v>
      </c>
      <c r="H102" s="120">
        <v>11.812332056451611</v>
      </c>
      <c r="I102" s="120">
        <v>6.707985954301077</v>
      </c>
      <c r="J102" s="120">
        <v>6.831722916666666</v>
      </c>
      <c r="K102" s="120">
        <v>8.474098319892473</v>
      </c>
      <c r="L102" s="120">
        <v>15.002831944444447</v>
      </c>
      <c r="M102" s="196">
        <v>20.328013844086023</v>
      </c>
      <c r="N102" s="116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</row>
    <row r="103" spans="1:35" ht="15" customHeight="1">
      <c r="A103" s="170">
        <v>2004</v>
      </c>
      <c r="B103" s="120">
        <v>23.43997802419355</v>
      </c>
      <c r="C103" s="120">
        <v>17.321140804597704</v>
      </c>
      <c r="D103" s="120">
        <v>32.29438870967742</v>
      </c>
      <c r="E103" s="120">
        <v>39.028858067279934</v>
      </c>
      <c r="F103" s="120">
        <v>36.90090920698925</v>
      </c>
      <c r="G103" s="120">
        <v>13.410156041666669</v>
      </c>
      <c r="H103" s="120">
        <v>10.85750268817204</v>
      </c>
      <c r="I103" s="120">
        <v>5.449507062561095</v>
      </c>
      <c r="J103" s="120">
        <v>6.157632638888888</v>
      </c>
      <c r="K103" s="120">
        <v>19.906656586021505</v>
      </c>
      <c r="L103" s="120">
        <v>56.6812679861111</v>
      </c>
      <c r="M103" s="196">
        <v>52.482875</v>
      </c>
      <c r="N103" s="116"/>
      <c r="U103" s="98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</row>
    <row r="104" spans="1:35" ht="15" customHeight="1">
      <c r="A104" s="170">
        <v>2005</v>
      </c>
      <c r="B104" s="120">
        <v>25.558495295698926</v>
      </c>
      <c r="C104" s="120">
        <v>46.30099925595239</v>
      </c>
      <c r="D104" s="120">
        <v>110.21497715053765</v>
      </c>
      <c r="E104" s="120">
        <v>61.10776308333333</v>
      </c>
      <c r="F104" s="120">
        <v>20.57929213709678</v>
      </c>
      <c r="G104" s="120">
        <v>9.997688777777778</v>
      </c>
      <c r="H104" s="120">
        <v>5.9635423655913975</v>
      </c>
      <c r="I104" s="120">
        <v>4.527270698924766</v>
      </c>
      <c r="J104" s="120">
        <v>4.183024513888872</v>
      </c>
      <c r="K104" s="120">
        <v>27.031315613047067</v>
      </c>
      <c r="L104" s="120">
        <v>20.756613333333334</v>
      </c>
      <c r="M104" s="196">
        <v>19.80693817204302</v>
      </c>
      <c r="N104" s="116"/>
      <c r="U104" s="98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</row>
    <row r="105" spans="1:35" ht="15" customHeight="1">
      <c r="A105" s="170">
        <v>2006</v>
      </c>
      <c r="B105" s="120">
        <v>33.76045530913982</v>
      </c>
      <c r="C105" s="120">
        <v>91.64651413690471</v>
      </c>
      <c r="D105" s="120">
        <v>161.87423991935484</v>
      </c>
      <c r="E105" s="120">
        <v>97.77093055555557</v>
      </c>
      <c r="F105" s="120">
        <v>22.383403897849455</v>
      </c>
      <c r="G105" s="120">
        <v>18.721965277777777</v>
      </c>
      <c r="H105" s="120">
        <v>8.691381285197131</v>
      </c>
      <c r="I105" s="120">
        <v>6.83600225662933</v>
      </c>
      <c r="J105" s="120">
        <v>7.428070256168141</v>
      </c>
      <c r="K105" s="120">
        <v>5.971290235910241</v>
      </c>
      <c r="L105" s="120">
        <v>17.38284723071175</v>
      </c>
      <c r="M105" s="196">
        <v>46.24217504445961</v>
      </c>
      <c r="N105" s="116"/>
      <c r="U105" s="98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</row>
    <row r="106" spans="1:35" ht="15" customHeight="1">
      <c r="A106" s="156" t="s">
        <v>77</v>
      </c>
      <c r="B106" s="162">
        <f>AVERAGE(B64:B103)</f>
        <v>34.318489610215046</v>
      </c>
      <c r="C106" s="162">
        <f aca="true" t="shared" si="48" ref="C106:M106">AVERAGE(C64:C103)</f>
        <v>48.9052156387264</v>
      </c>
      <c r="D106" s="162">
        <f t="shared" si="48"/>
        <v>61.56089907565202</v>
      </c>
      <c r="E106" s="162">
        <f t="shared" si="48"/>
        <v>66.80389725284826</v>
      </c>
      <c r="F106" s="162">
        <f t="shared" si="48"/>
        <v>39.42390449655213</v>
      </c>
      <c r="G106" s="162">
        <f t="shared" si="48"/>
        <v>20.998102243055563</v>
      </c>
      <c r="H106" s="162">
        <f t="shared" si="48"/>
        <v>11.971331115664444</v>
      </c>
      <c r="I106" s="162">
        <f t="shared" si="48"/>
        <v>6.30797895176564</v>
      </c>
      <c r="J106" s="162">
        <f t="shared" si="48"/>
        <v>11.295742364583337</v>
      </c>
      <c r="K106" s="162">
        <f t="shared" si="48"/>
        <v>25.052848168346777</v>
      </c>
      <c r="L106" s="162">
        <f t="shared" si="48"/>
        <v>26.68501084722222</v>
      </c>
      <c r="M106" s="162">
        <f t="shared" si="48"/>
        <v>28.241926834850055</v>
      </c>
      <c r="N106" s="162"/>
      <c r="U106" s="98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</row>
    <row r="107" spans="1:35" ht="15" customHeight="1">
      <c r="A107" s="155"/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U107" s="98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</row>
    <row r="108" spans="21:35" ht="15" customHeight="1">
      <c r="U108" s="98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</row>
    <row r="109" spans="21:35" ht="15" customHeight="1">
      <c r="U109" s="98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</row>
    <row r="110" spans="21:35" ht="15" customHeight="1">
      <c r="U110" s="98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</row>
    <row r="111" spans="21:35" ht="15" customHeight="1">
      <c r="U111" s="98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</row>
    <row r="112" spans="21:35" ht="15" customHeight="1">
      <c r="U112" s="98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</row>
    <row r="113" spans="21:35" ht="15" customHeight="1">
      <c r="U113" s="98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</row>
    <row r="114" spans="21:35" ht="15" customHeight="1">
      <c r="U114" s="98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</row>
    <row r="115" spans="21:35" ht="15" customHeight="1">
      <c r="U115" s="98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</row>
    <row r="116" spans="21:35" ht="15" customHeight="1">
      <c r="U116" s="98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</row>
    <row r="117" spans="21:35" ht="15" customHeight="1">
      <c r="U117" s="98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</row>
    <row r="118" spans="21:35" ht="15" customHeight="1">
      <c r="U118" s="98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</row>
    <row r="119" spans="21:35" ht="15" customHeight="1">
      <c r="U119" s="98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</row>
    <row r="120" spans="21:35" ht="15" customHeight="1">
      <c r="U120" s="98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</row>
    <row r="121" spans="21:35" ht="15" customHeight="1">
      <c r="U121" s="98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</row>
    <row r="122" spans="21:35" ht="15" customHeight="1">
      <c r="U122" s="98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</row>
    <row r="123" spans="21:35" ht="15" customHeight="1">
      <c r="U123" s="98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</row>
    <row r="124" spans="21:35" ht="15" customHeight="1">
      <c r="U124" s="98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</row>
    <row r="125" spans="21:35" ht="15" customHeight="1">
      <c r="U125" s="98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</row>
    <row r="126" spans="21:35" ht="15" customHeight="1">
      <c r="U126" s="98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</row>
    <row r="127" spans="21:35" ht="15" customHeight="1">
      <c r="U127" s="98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</row>
    <row r="128" spans="21:35" ht="15" customHeight="1">
      <c r="U128" s="98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</row>
    <row r="129" spans="21:35" ht="15" customHeight="1">
      <c r="U129" s="98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</row>
    <row r="130" spans="21:35" ht="15" customHeight="1">
      <c r="U130" s="98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</row>
    <row r="131" spans="21:35" ht="15" customHeight="1">
      <c r="U131" s="98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</row>
    <row r="132" spans="21:35" ht="15" customHeight="1">
      <c r="U132" s="98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</row>
    <row r="133" spans="21:35" ht="15" customHeight="1">
      <c r="U133" s="98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</row>
    <row r="134" spans="21:35" ht="15" customHeight="1">
      <c r="U134" s="98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</row>
    <row r="135" spans="21:35" ht="15" customHeight="1">
      <c r="U135" s="98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</row>
    <row r="136" spans="21:35" ht="15" customHeight="1">
      <c r="U136" s="98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</row>
    <row r="137" spans="21:35" ht="15" customHeight="1">
      <c r="U137" s="98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</row>
    <row r="138" spans="21:35" ht="15" customHeight="1">
      <c r="U138" s="98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</row>
    <row r="139" spans="21:35" ht="15" customHeight="1">
      <c r="U139" s="98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</row>
    <row r="140" spans="21:35" ht="15" customHeight="1">
      <c r="U140" s="98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</row>
    <row r="141" spans="21:35" ht="15" customHeight="1">
      <c r="U141" s="98"/>
      <c r="V141" s="95"/>
      <c r="W141" s="95"/>
      <c r="X141" s="10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</row>
    <row r="142" spans="22:35" ht="15" customHeight="1"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</row>
    <row r="143" spans="21:35" ht="15" customHeight="1">
      <c r="U143" s="104"/>
      <c r="Z143" s="98"/>
      <c r="AA143" s="98"/>
      <c r="AB143" s="98"/>
      <c r="AC143" s="98"/>
      <c r="AD143" s="102"/>
      <c r="AE143" s="98"/>
      <c r="AG143" s="98"/>
      <c r="AH143" s="98"/>
      <c r="AI143" s="98"/>
    </row>
    <row r="144" spans="20:35" ht="15" customHeight="1"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</row>
    <row r="145" spans="20:35" ht="15" customHeight="1">
      <c r="T145" s="106"/>
      <c r="U145" s="96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</row>
    <row r="146" spans="20:35" ht="15" customHeight="1">
      <c r="T146" s="106"/>
      <c r="U146" s="96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</row>
    <row r="147" spans="20:35" ht="15" customHeight="1">
      <c r="T147" s="106"/>
      <c r="U147" s="96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</row>
    <row r="148" spans="20:35" ht="15" customHeight="1">
      <c r="T148" s="106"/>
      <c r="U148" s="96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</row>
    <row r="149" spans="20:35" ht="15" customHeight="1">
      <c r="T149" s="106"/>
      <c r="U149" s="96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</row>
    <row r="150" spans="20:35" ht="15" customHeight="1">
      <c r="T150" s="106"/>
      <c r="U150" s="96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</row>
    <row r="151" spans="20:35" ht="15" customHeight="1">
      <c r="T151" s="106"/>
      <c r="U151" s="96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</row>
    <row r="152" spans="20:35" ht="15" customHeight="1">
      <c r="T152" s="106"/>
      <c r="U152" s="96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</row>
    <row r="153" spans="20:35" ht="15" customHeight="1">
      <c r="T153" s="106"/>
      <c r="U153" s="96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</row>
    <row r="154" spans="20:35" ht="15" customHeight="1">
      <c r="T154" s="106"/>
      <c r="U154" s="96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</row>
    <row r="155" spans="20:35" ht="15" customHeight="1">
      <c r="T155" s="106"/>
      <c r="U155" s="96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</row>
    <row r="156" spans="20:35" ht="15" customHeight="1">
      <c r="T156" s="106"/>
      <c r="U156" s="96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</row>
    <row r="157" spans="20:35" ht="15" customHeight="1">
      <c r="T157" s="106"/>
      <c r="U157" s="96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</row>
    <row r="158" spans="20:35" ht="15" customHeight="1">
      <c r="T158" s="106"/>
      <c r="U158" s="96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</row>
    <row r="159" spans="20:35" ht="15" customHeight="1">
      <c r="T159" s="106"/>
      <c r="U159" s="96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</row>
    <row r="160" spans="20:35" ht="15" customHeight="1">
      <c r="T160" s="106"/>
      <c r="U160" s="96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</row>
    <row r="161" spans="20:35" ht="15" customHeight="1">
      <c r="T161" s="106"/>
      <c r="U161" s="96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</row>
    <row r="162" spans="20:35" ht="15" customHeight="1">
      <c r="T162" s="106"/>
      <c r="U162" s="96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</row>
    <row r="163" spans="20:35" ht="15" customHeight="1">
      <c r="T163" s="106"/>
      <c r="U163" s="96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</row>
    <row r="164" spans="20:35" ht="15" customHeight="1">
      <c r="T164" s="106"/>
      <c r="U164" s="96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</row>
    <row r="165" spans="20:35" ht="15" customHeight="1">
      <c r="T165" s="106"/>
      <c r="U165" s="96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</row>
    <row r="166" spans="20:35" ht="15" customHeight="1">
      <c r="T166" s="106"/>
      <c r="U166" s="96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</row>
    <row r="167" spans="20:35" ht="15" customHeight="1">
      <c r="T167" s="106"/>
      <c r="U167" s="96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</row>
    <row r="168" spans="20:35" ht="15" customHeight="1">
      <c r="T168" s="106"/>
      <c r="U168" s="96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</row>
    <row r="169" spans="20:35" ht="15" customHeight="1">
      <c r="T169" s="106"/>
      <c r="U169" s="96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</row>
    <row r="170" spans="20:35" ht="15" customHeight="1">
      <c r="T170" s="106"/>
      <c r="U170" s="96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</row>
    <row r="171" spans="20:35" ht="15" customHeight="1">
      <c r="T171" s="106"/>
      <c r="U171" s="96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</row>
    <row r="172" spans="20:35" ht="15" customHeight="1">
      <c r="T172" s="106"/>
      <c r="U172" s="96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</row>
    <row r="173" spans="20:35" ht="15" customHeight="1">
      <c r="T173" s="106"/>
      <c r="U173" s="96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</row>
    <row r="174" spans="20:35" ht="15" customHeight="1">
      <c r="T174" s="106"/>
      <c r="U174" s="96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</row>
    <row r="175" spans="20:35" ht="15" customHeight="1">
      <c r="T175" s="106"/>
      <c r="U175" s="96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</row>
    <row r="176" spans="20:35" ht="15" customHeight="1">
      <c r="T176" s="106"/>
      <c r="U176" s="96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</row>
    <row r="177" spans="20:35" ht="15" customHeight="1">
      <c r="T177" s="106"/>
      <c r="U177" s="96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</row>
    <row r="178" spans="20:35" ht="15" customHeight="1">
      <c r="T178" s="106"/>
      <c r="U178" s="96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</row>
    <row r="179" spans="20:35" ht="15" customHeight="1">
      <c r="T179" s="106"/>
      <c r="U179" s="96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</row>
    <row r="180" spans="20:35" ht="15" customHeight="1">
      <c r="T180" s="106"/>
      <c r="U180" s="96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</row>
    <row r="181" spans="20:35" ht="15" customHeight="1">
      <c r="T181" s="106"/>
      <c r="U181" s="96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4"/>
      <c r="AI181" s="94"/>
    </row>
    <row r="182" spans="20:35" ht="15" customHeight="1">
      <c r="T182" s="106"/>
      <c r="U182" s="96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4"/>
      <c r="AI182" s="94"/>
    </row>
    <row r="183" spans="20:35" ht="15" customHeight="1">
      <c r="T183" s="98"/>
      <c r="U183" s="96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</row>
    <row r="184" ht="15" customHeight="1">
      <c r="U184" s="104"/>
    </row>
    <row r="185" spans="21:35" ht="15" customHeight="1">
      <c r="U185" s="98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</row>
    <row r="186" spans="21:35" ht="15" customHeight="1">
      <c r="U186" s="98"/>
      <c r="V186" s="98"/>
      <c r="W186" s="98"/>
      <c r="X186" s="98"/>
      <c r="Y186" s="98"/>
      <c r="Z186" s="98"/>
      <c r="AA186" s="98"/>
      <c r="AB186" s="98"/>
      <c r="AC186" s="98"/>
      <c r="AD186" s="98"/>
      <c r="AE186" s="98"/>
      <c r="AF186" s="98"/>
      <c r="AG186" s="98"/>
      <c r="AH186" s="98"/>
      <c r="AI186" s="98"/>
    </row>
    <row r="187" spans="21:35" ht="15" customHeight="1">
      <c r="U187" s="96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</row>
    <row r="188" spans="21:35" ht="15" customHeight="1">
      <c r="U188" s="96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</row>
    <row r="189" spans="21:35" ht="15" customHeight="1">
      <c r="U189" s="96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</row>
  </sheetData>
  <mergeCells count="1">
    <mergeCell ref="P5:Q6"/>
  </mergeCells>
  <printOptions horizontalCentered="1" verticalCentered="1"/>
  <pageMargins left="0.27" right="0.17" top="1" bottom="1" header="0" footer="0"/>
  <pageSetup fitToHeight="2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DEI-EGENOR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RROSAS</dc:creator>
  <cp:keywords/>
  <dc:description/>
  <cp:lastModifiedBy>Lorenzo Eguren</cp:lastModifiedBy>
  <cp:lastPrinted>2006-01-24T15:09:52Z</cp:lastPrinted>
  <dcterms:created xsi:type="dcterms:W3CDTF">1999-01-11T15:16:00Z</dcterms:created>
  <dcterms:modified xsi:type="dcterms:W3CDTF">2008-02-26T01:06:09Z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