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50%S.value (10 Years)" sheetId="1" r:id="rId1"/>
    <sheet name="IRR 20 years" sheetId="2" r:id="rId2"/>
    <sheet name="Bench Mark" sheetId="3" r:id="rId3"/>
  </sheets>
  <definedNames>
    <definedName name="_xlnm.Print_Area" localSheetId="0">'50%S.value (10 Years)'!#REF!</definedName>
    <definedName name="_xlnm.Print_Area" localSheetId="2">'Bench Mark'!$C$3:$F$43</definedName>
    <definedName name="_xlnm.Print_Area" localSheetId="1">'IRR 20 years'!#REF!</definedName>
  </definedNames>
  <calcPr fullCalcOnLoad="1"/>
</workbook>
</file>

<file path=xl/sharedStrings.xml><?xml version="1.0" encoding="utf-8"?>
<sst xmlns="http://schemas.openxmlformats.org/spreadsheetml/2006/main" count="273" uniqueCount="147">
  <si>
    <t>O&amp;M Expenses</t>
  </si>
  <si>
    <t>Total</t>
  </si>
  <si>
    <t>Year ended March 31</t>
  </si>
  <si>
    <t>I Year</t>
  </si>
  <si>
    <t>II Year</t>
  </si>
  <si>
    <t>III Year</t>
  </si>
  <si>
    <t>IV Year</t>
  </si>
  <si>
    <t>V Year</t>
  </si>
  <si>
    <t>VI Year</t>
  </si>
  <si>
    <t>VII Year</t>
  </si>
  <si>
    <t>Tariff  Rs /Kw</t>
  </si>
  <si>
    <t>Power revenue</t>
  </si>
  <si>
    <t>CER sold  t Co2</t>
  </si>
  <si>
    <t>Total Revenue</t>
  </si>
  <si>
    <t>Costs</t>
  </si>
  <si>
    <t>Interest on term loan</t>
  </si>
  <si>
    <t>Depreciation</t>
  </si>
  <si>
    <t>Total Expenses</t>
  </si>
  <si>
    <t>PBT w/o CER</t>
  </si>
  <si>
    <t>PBT with CER</t>
  </si>
  <si>
    <t>Tax w/o CER</t>
  </si>
  <si>
    <t>Tax with CER</t>
  </si>
  <si>
    <t>PAT w/o CER</t>
  </si>
  <si>
    <t>PAT with CER</t>
  </si>
  <si>
    <t>Cash flow w/o CER</t>
  </si>
  <si>
    <t>Cash flow with CER</t>
  </si>
  <si>
    <t>IRR w/o CER</t>
  </si>
  <si>
    <t>IRR with CER</t>
  </si>
  <si>
    <t>Emission Factor</t>
  </si>
  <si>
    <t>Year</t>
  </si>
  <si>
    <t>Opening Bal</t>
  </si>
  <si>
    <t>Repayment</t>
  </si>
  <si>
    <t>Closing Bal</t>
  </si>
  <si>
    <t>Average</t>
  </si>
  <si>
    <t>Interest</t>
  </si>
  <si>
    <t>Year I</t>
  </si>
  <si>
    <t>Year II</t>
  </si>
  <si>
    <t>Year III</t>
  </si>
  <si>
    <t>Year IV</t>
  </si>
  <si>
    <t>Year V</t>
  </si>
  <si>
    <t>Year VI</t>
  </si>
  <si>
    <t>Year VII</t>
  </si>
  <si>
    <t>Year VIII</t>
  </si>
  <si>
    <t>VIII Year</t>
  </si>
  <si>
    <t>S.Value</t>
  </si>
  <si>
    <t>Net Export to Grid  (Gwh)</t>
  </si>
  <si>
    <t>Installed Capacity ( MW)</t>
  </si>
  <si>
    <t>Interest on Term Loan     :</t>
  </si>
  <si>
    <t xml:space="preserve"> Loan Period/Years</t>
  </si>
  <si>
    <t xml:space="preserve"> Income Tax ( MAT)</t>
  </si>
  <si>
    <t>CER price Euro/Ton</t>
  </si>
  <si>
    <t>Exchange rate Euro=INR</t>
  </si>
  <si>
    <t>Capital Subsidy</t>
  </si>
  <si>
    <t xml:space="preserve">PROJECT COST </t>
  </si>
  <si>
    <t>(Rs.Million)</t>
  </si>
  <si>
    <t>TOTAL</t>
  </si>
  <si>
    <t>MEANS OF FINANCE</t>
  </si>
  <si>
    <t xml:space="preserve">   Share Capital</t>
  </si>
  <si>
    <t>Incentives</t>
  </si>
  <si>
    <t>Tax holiday / years</t>
  </si>
  <si>
    <t xml:space="preserve">Interst on Term Loan </t>
  </si>
  <si>
    <t>Gross Annual Generation (Gwh)</t>
  </si>
  <si>
    <t xml:space="preserve">CER Revenue </t>
  </si>
  <si>
    <t xml:space="preserve">    ( Yearly Escalation in O &amp; M )</t>
  </si>
  <si>
    <t>Tariff Rs / Kwh</t>
  </si>
  <si>
    <t xml:space="preserve">    ( Yearly Escalation in  Tariff )</t>
  </si>
  <si>
    <t>Book Depreciation (Average)</t>
  </si>
  <si>
    <t>( Rs.7.5million+1.25 million/MW)</t>
  </si>
  <si>
    <t>Others</t>
  </si>
  <si>
    <t>O &amp; M costs( On Civil &amp; Elecro.Mec)</t>
  </si>
  <si>
    <t>IX Year</t>
  </si>
  <si>
    <t xml:space="preserve">   Term Loans </t>
  </si>
  <si>
    <t>Aux.Consumption &amp; Grid Outages</t>
  </si>
  <si>
    <t>PGL SOMESWARA - 24.75 MW</t>
  </si>
  <si>
    <t>Land &amp; Site Development</t>
  </si>
  <si>
    <t>Civil works</t>
  </si>
  <si>
    <t>Machinery</t>
  </si>
  <si>
    <t xml:space="preserve">Expense already incurred </t>
  </si>
  <si>
    <t>Preoperative expenses</t>
  </si>
  <si>
    <t>Contingencies</t>
  </si>
  <si>
    <t>IDC</t>
  </si>
  <si>
    <t>X Year</t>
  </si>
  <si>
    <t>Expeted Return on  Equity</t>
  </si>
  <si>
    <t>Working Capital Requiment</t>
  </si>
  <si>
    <t>Margin @ 25 %</t>
  </si>
  <si>
    <t>Bank Borrowings @ 75 %</t>
  </si>
  <si>
    <t>Interest on Working Capital</t>
  </si>
  <si>
    <t xml:space="preserve">Gross Annual generation (GWh) </t>
  </si>
  <si>
    <t>Net gen. Available  for Sale (GWh)</t>
  </si>
  <si>
    <t>(Rs.millions)</t>
  </si>
  <si>
    <t>Particulars</t>
  </si>
  <si>
    <t>Actual</t>
  </si>
  <si>
    <t>Pre-Ope</t>
  </si>
  <si>
    <t>Contin-</t>
  </si>
  <si>
    <t>Cost</t>
  </si>
  <si>
    <t>Exp</t>
  </si>
  <si>
    <t>gencies</t>
  </si>
  <si>
    <t xml:space="preserve"> </t>
  </si>
  <si>
    <t>Depreciation Charged so far</t>
  </si>
  <si>
    <t xml:space="preserve">Residual Value </t>
  </si>
  <si>
    <t>Apportionment of Expenses  to Fixed Assets (capitalisation )</t>
  </si>
  <si>
    <t xml:space="preserve">Determination of Rsidual value of Assets (End of 10th Year) </t>
  </si>
  <si>
    <t>Depreciation Per annum (assuming life time of the project is 20 years)</t>
  </si>
  <si>
    <t xml:space="preserve"> Income Tax ( Regular)</t>
  </si>
  <si>
    <t>Tariff After 11th Year</t>
  </si>
  <si>
    <t xml:space="preserve">  Expenses during 11th year</t>
  </si>
  <si>
    <t xml:space="preserve">  ROE @ 16%</t>
  </si>
  <si>
    <t xml:space="preserve">           Total</t>
  </si>
  <si>
    <t xml:space="preserve"> Expected tariff (from 11th Year onwards) Rs/KWh</t>
  </si>
  <si>
    <t xml:space="preserve">Determination of Rsidual value of Assets (End of 20th Year) </t>
  </si>
  <si>
    <t>Assumptions Supporting Financial Workings</t>
  </si>
  <si>
    <t>WEIGTED AVERAGE COST OF CAPITAL (WACC)</t>
  </si>
  <si>
    <t>Cost of Term Loans</t>
  </si>
  <si>
    <t>(Rs.million)</t>
  </si>
  <si>
    <t>Total Debt</t>
  </si>
  <si>
    <t>Avg.Rate of Interest on Debt</t>
  </si>
  <si>
    <t>Total Equity</t>
  </si>
  <si>
    <t>Increase from 2002 to 2005</t>
  </si>
  <si>
    <t>% of Return in 3 year</t>
  </si>
  <si>
    <t>Avg.Yealy Return in Stock Market</t>
  </si>
  <si>
    <t>a) Retun on Capital ( expected)</t>
  </si>
  <si>
    <t>b) Add: Provision for tranfer to reserves @ 10 %</t>
  </si>
  <si>
    <t>c) Add; Div.distribution tax,S.Charge, E.cess @ 13.07 %</t>
  </si>
  <si>
    <t>Total Cost of equity capital ( as per NIFTY index) - I</t>
  </si>
  <si>
    <t>Return on equity based on Risk premium</t>
  </si>
  <si>
    <t>Risk premium for  investment in  equity - II</t>
  </si>
  <si>
    <t>Bench Mark on the return on equity:</t>
  </si>
  <si>
    <t xml:space="preserve">Average of  I + II </t>
  </si>
  <si>
    <t>a) Expected retun on equity</t>
  </si>
  <si>
    <t>b) Expected Cost  on Debt</t>
  </si>
  <si>
    <t>WACC [Average of (a) &amp; (b)]</t>
  </si>
  <si>
    <t xml:space="preserve">                has been in the range of 6.91 to 7.98%. Hence, the return is taken at 7%</t>
  </si>
  <si>
    <t xml:space="preserve">                Choudhury, Society for Capital Market Research and Development, New Delhi (2001), p.48</t>
  </si>
  <si>
    <t>In order to get a dividend of 26.25 % the following to be added</t>
  </si>
  <si>
    <t>Nifty Index as on Apr 2002  #.1</t>
  </si>
  <si>
    <t>Nifty Index as on March  2005 # .1</t>
  </si>
  <si>
    <t>Retun on Govt.Securities ( % ) #.2</t>
  </si>
  <si>
    <t>Risk associated with Govt.Securities #.3</t>
  </si>
  <si>
    <t>Risk associated with capital market #.3</t>
  </si>
  <si>
    <t>Source:  #.1 S&amp;P CNX Nifty - www.nseindia.com</t>
  </si>
  <si>
    <t xml:space="preserve">            #.2 Return on Govt. securities - Annual Report, RBI 2005, P155; the YTM of primary issues over 10 years</t>
  </si>
  <si>
    <t xml:space="preserve">           #.3 Risk associated with Govt. securities and equity -  How Good are Mutual Funds, L.C. Gupta and Utpal K.</t>
  </si>
  <si>
    <t xml:space="preserve">        distribution tax including surcharge and cess, transfer to reserves </t>
  </si>
  <si>
    <t xml:space="preserve">        the stipulated percent of post tax profits to reserves as per </t>
  </si>
  <si>
    <t xml:space="preserve">        as per Companies Regulations</t>
  </si>
  <si>
    <t>Note: In order to distribute a dividend of 26.25% on equity, the company</t>
  </si>
  <si>
    <t xml:space="preserve">        has to earn 32.31% after tax, out of which it has to pay dividend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</si>
</sst>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0_)"/>
    <numFmt numFmtId="174" formatCode="0.00_)"/>
    <numFmt numFmtId="175" formatCode="0.0_)"/>
    <numFmt numFmtId="176" formatCode="_(* #,##0.0_);_(* \(#,##0.0\);_(* &quot;-&quot;??_);_(@_)"/>
    <numFmt numFmtId="177" formatCode="0.000000000000"/>
    <numFmt numFmtId="178" formatCode="0.00000000000"/>
    <numFmt numFmtId="179" formatCode="0.000000000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0" fontId="5" fillId="0" borderId="0" xfId="19" applyNumberFormat="1" applyFont="1" applyAlignment="1">
      <alignment horizontal="center"/>
    </xf>
    <xf numFmtId="0" fontId="0" fillId="0" borderId="0" xfId="0" applyFont="1" applyAlignment="1">
      <alignment/>
    </xf>
    <xf numFmtId="174" fontId="5" fillId="0" borderId="0" xfId="0" applyNumberFormat="1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 horizontal="center"/>
      <protection/>
    </xf>
    <xf numFmtId="10" fontId="6" fillId="0" borderId="0" xfId="0" applyNumberFormat="1" applyFont="1" applyFill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0" fontId="10" fillId="0" borderId="0" xfId="19" applyNumberFormat="1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0" fillId="0" borderId="0" xfId="0" applyAlignment="1" applyProtection="1">
      <alignment horizontal="fill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/>
    </xf>
    <xf numFmtId="0" fontId="11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74" fontId="0" fillId="0" borderId="0" xfId="0" applyNumberFormat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174" fontId="11" fillId="0" borderId="4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0" fontId="0" fillId="0" borderId="0" xfId="19" applyNumberFormat="1" applyFont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0" fontId="10" fillId="0" borderId="0" xfId="19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0" fontId="2" fillId="0" borderId="0" xfId="19" applyNumberFormat="1" applyFont="1" applyFill="1" applyAlignment="1">
      <alignment/>
    </xf>
    <xf numFmtId="0" fontId="7" fillId="0" borderId="0" xfId="0" applyFont="1" applyFill="1" applyAlignment="1">
      <alignment/>
    </xf>
    <xf numFmtId="174" fontId="8" fillId="0" borderId="0" xfId="0" applyNumberFormat="1" applyFont="1" applyAlignment="1" applyProtection="1">
      <alignment horizontal="center"/>
      <protection/>
    </xf>
    <xf numFmtId="174" fontId="8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9" fontId="8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>
      <alignment horizontal="center"/>
    </xf>
    <xf numFmtId="10" fontId="0" fillId="0" borderId="0" xfId="19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Alignment="1">
      <alignment horizontal="right"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0" fontId="1" fillId="0" borderId="0" xfId="19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 applyProtection="1">
      <alignment horizontal="right"/>
      <protection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Fill="1" applyAlignment="1">
      <alignment horizontal="right"/>
    </xf>
    <xf numFmtId="10" fontId="0" fillId="0" borderId="0" xfId="0" applyNumberFormat="1" applyFont="1" applyAlignment="1" applyProtection="1">
      <alignment horizontal="right"/>
      <protection/>
    </xf>
    <xf numFmtId="10" fontId="5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0" fontId="0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right"/>
      <protection/>
    </xf>
    <xf numFmtId="9" fontId="0" fillId="0" borderId="0" xfId="0" applyNumberFormat="1" applyFont="1" applyAlignment="1">
      <alignment/>
    </xf>
    <xf numFmtId="10" fontId="5" fillId="0" borderId="0" xfId="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10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2" fontId="15" fillId="0" borderId="0" xfId="0" applyNumberFormat="1" applyFont="1" applyBorder="1" applyAlignment="1">
      <alignment horizontal="center" vertical="center"/>
    </xf>
    <xf numFmtId="10" fontId="0" fillId="0" borderId="0" xfId="19" applyNumberFormat="1" applyFont="1" applyAlignment="1">
      <alignment horizontal="center"/>
    </xf>
    <xf numFmtId="10" fontId="1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10" fontId="0" fillId="0" borderId="0" xfId="19" applyNumberFormat="1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76"/>
  <sheetViews>
    <sheetView tabSelected="1" workbookViewId="0" topLeftCell="A1">
      <selection activeCell="D7" sqref="D7"/>
    </sheetView>
  </sheetViews>
  <sheetFormatPr defaultColWidth="9.140625" defaultRowHeight="12.75"/>
  <cols>
    <col min="1" max="1" width="12.28125" style="21" customWidth="1"/>
    <col min="2" max="2" width="48.421875" style="21" customWidth="1"/>
    <col min="3" max="3" width="12.28125" style="21" customWidth="1"/>
    <col min="4" max="4" width="14.7109375" style="21" customWidth="1"/>
    <col min="5" max="5" width="12.28125" style="21" customWidth="1"/>
    <col min="6" max="6" width="11.421875" style="21" customWidth="1"/>
    <col min="7" max="7" width="12.00390625" style="21" customWidth="1"/>
    <col min="8" max="8" width="10.00390625" style="21" customWidth="1"/>
    <col min="9" max="9" width="11.00390625" style="21" customWidth="1"/>
    <col min="10" max="10" width="10.00390625" style="21" customWidth="1"/>
    <col min="11" max="11" width="11.00390625" style="21" customWidth="1"/>
    <col min="12" max="12" width="10.00390625" style="21" bestFit="1" customWidth="1"/>
    <col min="13" max="13" width="9.8515625" style="21" bestFit="1" customWidth="1"/>
    <col min="14" max="14" width="9.28125" style="21" bestFit="1" customWidth="1"/>
    <col min="15" max="15" width="8.57421875" style="21" customWidth="1"/>
    <col min="16" max="16" width="9.28125" style="21" bestFit="1" customWidth="1"/>
    <col min="17" max="17" width="9.140625" style="21" customWidth="1"/>
    <col min="18" max="18" width="11.28125" style="21" customWidth="1"/>
    <col min="19" max="21" width="9.140625" style="21" customWidth="1"/>
    <col min="22" max="22" width="28.00390625" style="21" customWidth="1"/>
    <col min="23" max="23" width="12.00390625" style="21" customWidth="1"/>
    <col min="24" max="32" width="11.28125" style="21" bestFit="1" customWidth="1"/>
    <col min="33" max="33" width="9.28125" style="21" bestFit="1" customWidth="1"/>
    <col min="34" max="34" width="9.140625" style="21" customWidth="1"/>
    <col min="35" max="35" width="9.28125" style="21" bestFit="1" customWidth="1"/>
    <col min="36" max="16384" width="9.140625" style="21" customWidth="1"/>
  </cols>
  <sheetData>
    <row r="3" ht="12.75">
      <c r="B3" s="7" t="s">
        <v>73</v>
      </c>
    </row>
    <row r="6" spans="1:5" ht="12.75">
      <c r="A6" s="2"/>
      <c r="B6" s="1" t="s">
        <v>110</v>
      </c>
      <c r="C6" s="7"/>
      <c r="D6" s="145"/>
      <c r="E6" s="145"/>
    </row>
    <row r="7" spans="1:26" ht="12.75">
      <c r="A7" s="2"/>
      <c r="B7" s="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">
      <c r="A8" s="2"/>
      <c r="B8" s="25" t="s">
        <v>46</v>
      </c>
      <c r="C8" s="85">
        <v>24.75</v>
      </c>
      <c r="D8" s="81"/>
      <c r="E8" s="82"/>
      <c r="F8" s="82"/>
      <c r="G8" s="82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">
      <c r="A9" s="2"/>
      <c r="B9" s="26" t="s">
        <v>87</v>
      </c>
      <c r="C9" s="86">
        <f>84</f>
        <v>84</v>
      </c>
      <c r="D9" s="81"/>
      <c r="E9" s="83"/>
      <c r="F9" s="82"/>
      <c r="G9" s="82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5">
      <c r="A10" s="2"/>
      <c r="B10" s="26" t="s">
        <v>72</v>
      </c>
      <c r="C10" s="87">
        <v>0.03</v>
      </c>
      <c r="D10" s="81"/>
      <c r="E10" s="83"/>
      <c r="F10" s="82"/>
      <c r="G10" s="8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">
      <c r="A11" s="2"/>
      <c r="B11" s="26" t="s">
        <v>88</v>
      </c>
      <c r="C11" s="86">
        <f>+C9-(C9*$C$10)</f>
        <v>81.48</v>
      </c>
      <c r="D11" s="81"/>
      <c r="E11" s="82"/>
      <c r="F11" s="82"/>
      <c r="G11" s="8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">
      <c r="A12" s="2"/>
      <c r="B12" s="84" t="s">
        <v>64</v>
      </c>
      <c r="C12" s="88">
        <v>2.9</v>
      </c>
      <c r="D12" s="81"/>
      <c r="E12" s="81"/>
      <c r="F12" s="81"/>
      <c r="G12" s="8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>
      <c r="A13" s="2"/>
      <c r="B13" s="84" t="s">
        <v>65</v>
      </c>
      <c r="C13" s="87">
        <v>0.02</v>
      </c>
      <c r="D13" s="81"/>
      <c r="E13" s="81"/>
      <c r="F13" s="81"/>
      <c r="G13" s="8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>
      <c r="A14" s="2"/>
      <c r="B14" s="26" t="s">
        <v>69</v>
      </c>
      <c r="C14" s="87">
        <v>0.04</v>
      </c>
      <c r="D14" s="81"/>
      <c r="E14" s="81"/>
      <c r="F14" s="81"/>
      <c r="G14" s="8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>
      <c r="A15" s="2"/>
      <c r="B15" s="84" t="s">
        <v>63</v>
      </c>
      <c r="C15" s="89">
        <v>0.1</v>
      </c>
      <c r="D15" s="81"/>
      <c r="E15" s="81"/>
      <c r="F15" s="81"/>
      <c r="G15" s="8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>
      <c r="A16" s="2"/>
      <c r="B16" s="26" t="s">
        <v>47</v>
      </c>
      <c r="C16" s="87">
        <v>0.115</v>
      </c>
      <c r="D16" s="81"/>
      <c r="E16" s="81"/>
      <c r="F16" s="81"/>
      <c r="G16" s="8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>
      <c r="A17" s="2"/>
      <c r="B17" s="84" t="s">
        <v>48</v>
      </c>
      <c r="C17" s="88">
        <v>10</v>
      </c>
      <c r="D17" s="81"/>
      <c r="E17" s="81"/>
      <c r="F17" s="81"/>
      <c r="G17" s="8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>
      <c r="A18" s="2"/>
      <c r="B18" s="26" t="s">
        <v>66</v>
      </c>
      <c r="C18" s="90">
        <v>0.034</v>
      </c>
      <c r="D18" s="81"/>
      <c r="E18" s="81"/>
      <c r="F18" s="81"/>
      <c r="G18" s="8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>
      <c r="A19" s="2"/>
      <c r="B19" s="26" t="s">
        <v>49</v>
      </c>
      <c r="C19" s="90">
        <v>0.1122</v>
      </c>
      <c r="D19" s="81"/>
      <c r="E19" s="81"/>
      <c r="F19" s="81"/>
      <c r="G19" s="8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">
      <c r="A20" s="2"/>
      <c r="B20" s="27" t="s">
        <v>28</v>
      </c>
      <c r="C20" s="32">
        <v>860.87</v>
      </c>
      <c r="D20" s="81"/>
      <c r="E20" s="81"/>
      <c r="F20" s="81"/>
      <c r="G20" s="8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">
      <c r="A21" s="2"/>
      <c r="B21" s="29" t="s">
        <v>50</v>
      </c>
      <c r="C21" s="32">
        <v>8</v>
      </c>
      <c r="D21" s="81"/>
      <c r="E21" s="81"/>
      <c r="F21" s="81"/>
      <c r="G21" s="8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>
      <c r="A22" s="2"/>
      <c r="B22" s="29" t="s">
        <v>51</v>
      </c>
      <c r="C22" s="32">
        <v>56</v>
      </c>
      <c r="D22" s="81"/>
      <c r="E22" s="81"/>
      <c r="F22" s="81"/>
      <c r="G22" s="8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">
      <c r="A23" s="2"/>
      <c r="B23" s="28" t="s">
        <v>58</v>
      </c>
      <c r="C23" s="32"/>
      <c r="D23" s="81"/>
      <c r="E23" s="81"/>
      <c r="F23" s="81"/>
      <c r="G23" s="8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">
      <c r="A24" s="2"/>
      <c r="B24" s="29" t="s">
        <v>59</v>
      </c>
      <c r="C24" s="32">
        <v>10</v>
      </c>
      <c r="D24" s="81"/>
      <c r="E24" s="81"/>
      <c r="F24" s="81"/>
      <c r="G24" s="8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">
      <c r="A25" s="2"/>
      <c r="B25" s="29" t="s">
        <v>52</v>
      </c>
      <c r="C25" s="32">
        <f>(75+(12.5*24.75))/10</f>
        <v>38.4375</v>
      </c>
      <c r="D25" s="81"/>
      <c r="E25" s="81"/>
      <c r="F25" s="81"/>
      <c r="G25" s="8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">
      <c r="A26" s="2"/>
      <c r="B26" s="31" t="s">
        <v>67</v>
      </c>
      <c r="C26" s="32"/>
      <c r="D26" s="81"/>
      <c r="E26" s="81"/>
      <c r="F26" s="81"/>
      <c r="G26" s="8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">
      <c r="A27" s="2"/>
      <c r="B27" s="33"/>
      <c r="C27" s="34"/>
      <c r="D27" s="81"/>
      <c r="E27" s="81"/>
      <c r="F27" s="81"/>
      <c r="G27" s="8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">
      <c r="A28" s="2"/>
      <c r="B28" s="18" t="s">
        <v>53</v>
      </c>
      <c r="C28" s="32" t="s">
        <v>89</v>
      </c>
      <c r="D28" s="81"/>
      <c r="E28" s="81"/>
      <c r="F28" s="81"/>
      <c r="G28" s="8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5" ht="12.75">
      <c r="A29" s="2"/>
      <c r="B29" s="31" t="s">
        <v>74</v>
      </c>
      <c r="C29" s="32">
        <v>25</v>
      </c>
      <c r="D29" s="15"/>
      <c r="E29" s="2"/>
    </row>
    <row r="30" spans="1:5" ht="12.75">
      <c r="A30" s="2"/>
      <c r="B30" s="31" t="s">
        <v>75</v>
      </c>
      <c r="C30" s="32">
        <v>402</v>
      </c>
      <c r="D30" s="15"/>
      <c r="E30" s="2"/>
    </row>
    <row r="31" spans="1:5" ht="12.75">
      <c r="A31" s="2"/>
      <c r="B31" s="31" t="s">
        <v>76</v>
      </c>
      <c r="C31" s="32">
        <v>458</v>
      </c>
      <c r="D31" s="15"/>
      <c r="E31" s="2"/>
    </row>
    <row r="32" spans="1:5" ht="12.75">
      <c r="A32" s="2"/>
      <c r="B32" s="31" t="s">
        <v>68</v>
      </c>
      <c r="C32" s="32">
        <v>15</v>
      </c>
      <c r="D32" s="15"/>
      <c r="E32" s="2"/>
    </row>
    <row r="33" spans="1:5" ht="12.75">
      <c r="A33" s="2"/>
      <c r="B33" s="31" t="s">
        <v>77</v>
      </c>
      <c r="C33" s="32">
        <v>0</v>
      </c>
      <c r="D33" s="15"/>
      <c r="E33" s="2"/>
    </row>
    <row r="34" spans="1:5" ht="12.75">
      <c r="A34" s="2"/>
      <c r="B34" s="31" t="s">
        <v>78</v>
      </c>
      <c r="C34" s="32">
        <v>12</v>
      </c>
      <c r="D34" s="15"/>
      <c r="E34" s="2"/>
    </row>
    <row r="35" spans="1:5" ht="12.75">
      <c r="A35" s="2"/>
      <c r="B35" s="31" t="s">
        <v>79</v>
      </c>
      <c r="C35" s="32">
        <v>26</v>
      </c>
      <c r="D35" s="15"/>
      <c r="E35" s="2"/>
    </row>
    <row r="36" spans="1:5" ht="12.75">
      <c r="A36" s="2"/>
      <c r="B36" s="31" t="s">
        <v>80</v>
      </c>
      <c r="C36" s="32">
        <v>21</v>
      </c>
      <c r="D36" s="15"/>
      <c r="E36" s="2"/>
    </row>
    <row r="37" spans="1:5" ht="15">
      <c r="A37" s="2"/>
      <c r="B37" s="14" t="s">
        <v>55</v>
      </c>
      <c r="C37" s="32">
        <f>+SUM(C29:C36)</f>
        <v>959</v>
      </c>
      <c r="D37" s="30"/>
      <c r="E37" s="3"/>
    </row>
    <row r="38" spans="1:2" ht="12.75">
      <c r="A38" s="2"/>
      <c r="B38" s="1" t="s">
        <v>56</v>
      </c>
    </row>
    <row r="39" spans="1:6" ht="12.75">
      <c r="A39" s="2"/>
      <c r="B39" s="35" t="s">
        <v>57</v>
      </c>
      <c r="C39" s="32">
        <v>320</v>
      </c>
      <c r="D39" s="24"/>
      <c r="E39" s="36"/>
      <c r="F39" s="20"/>
    </row>
    <row r="40" spans="1:6" ht="12.75">
      <c r="A40" s="2"/>
      <c r="B40" s="35" t="s">
        <v>71</v>
      </c>
      <c r="C40" s="32">
        <f>+C37-C39</f>
        <v>639</v>
      </c>
      <c r="D40" s="24"/>
      <c r="E40" s="36"/>
      <c r="F40" s="36"/>
    </row>
    <row r="41" spans="1:6" ht="12.75">
      <c r="A41" s="2"/>
      <c r="B41" s="14" t="s">
        <v>55</v>
      </c>
      <c r="C41" s="32">
        <f>+SUM(C39:C40)</f>
        <v>959</v>
      </c>
      <c r="E41" s="3"/>
      <c r="F41" s="36"/>
    </row>
    <row r="42" spans="1:6" ht="12.75">
      <c r="A42" s="2"/>
      <c r="B42" s="14"/>
      <c r="C42" s="32"/>
      <c r="E42" s="3"/>
      <c r="F42" s="36"/>
    </row>
    <row r="43" spans="1:6" ht="12.75">
      <c r="A43" s="2"/>
      <c r="B43" s="35" t="s">
        <v>83</v>
      </c>
      <c r="C43" s="42">
        <f>37/3*4</f>
        <v>49.333333333333336</v>
      </c>
      <c r="E43" s="3"/>
      <c r="F43" s="36"/>
    </row>
    <row r="44" spans="1:6" ht="12.75">
      <c r="A44" s="2"/>
      <c r="B44" s="35" t="s">
        <v>84</v>
      </c>
      <c r="C44" s="42">
        <f>+C43*25%</f>
        <v>12.333333333333334</v>
      </c>
      <c r="E44" s="3"/>
      <c r="F44" s="36"/>
    </row>
    <row r="45" spans="1:6" ht="12.75">
      <c r="A45" s="2"/>
      <c r="B45" s="35" t="s">
        <v>85</v>
      </c>
      <c r="C45" s="32">
        <f>+C43-C44</f>
        <v>37</v>
      </c>
      <c r="E45" s="3"/>
      <c r="F45" s="36"/>
    </row>
    <row r="46" spans="1:6" ht="12.75">
      <c r="A46" s="2"/>
      <c r="B46" s="35" t="s">
        <v>86</v>
      </c>
      <c r="C46" s="91">
        <v>0.12</v>
      </c>
      <c r="E46" s="3"/>
      <c r="F46" s="36"/>
    </row>
    <row r="47" spans="1:6" ht="12.75">
      <c r="A47" s="2"/>
      <c r="B47" s="17"/>
      <c r="C47" s="22"/>
      <c r="E47" s="3"/>
      <c r="F47" s="36"/>
    </row>
    <row r="48" spans="1:6" ht="12.75">
      <c r="A48" s="2"/>
      <c r="B48" s="17"/>
      <c r="C48" s="23"/>
      <c r="E48" s="3"/>
      <c r="F48" s="36"/>
    </row>
    <row r="49" spans="1:3" ht="12.75">
      <c r="A49" s="31"/>
      <c r="C49" s="37"/>
    </row>
    <row r="50" spans="2:12" ht="12.75">
      <c r="B50" s="21" t="s">
        <v>60</v>
      </c>
      <c r="K50" s="38"/>
      <c r="L50" s="1" t="str">
        <f>+M59</f>
        <v>(Rs.Million)</v>
      </c>
    </row>
    <row r="51" spans="2:12" ht="12.75">
      <c r="B51" s="12" t="s">
        <v>29</v>
      </c>
      <c r="C51" s="12" t="s">
        <v>35</v>
      </c>
      <c r="D51" s="12" t="s">
        <v>36</v>
      </c>
      <c r="E51" s="12" t="s">
        <v>37</v>
      </c>
      <c r="F51" s="12" t="s">
        <v>38</v>
      </c>
      <c r="G51" s="12" t="s">
        <v>39</v>
      </c>
      <c r="H51" s="12" t="s">
        <v>40</v>
      </c>
      <c r="I51" s="12" t="s">
        <v>41</v>
      </c>
      <c r="J51" s="12" t="s">
        <v>42</v>
      </c>
      <c r="K51" s="12" t="s">
        <v>70</v>
      </c>
      <c r="L51" s="12" t="s">
        <v>81</v>
      </c>
    </row>
    <row r="52" spans="2:12" ht="12.75">
      <c r="B52" s="21" t="s">
        <v>30</v>
      </c>
      <c r="C52" s="36">
        <f>+C40-C25</f>
        <v>600.5625</v>
      </c>
      <c r="D52" s="36">
        <f aca="true" t="shared" si="0" ref="D52:L52">+C54</f>
        <v>540.50625</v>
      </c>
      <c r="E52" s="36">
        <f t="shared" si="0"/>
        <v>480.45000000000005</v>
      </c>
      <c r="F52" s="36">
        <f t="shared" si="0"/>
        <v>420.39375000000007</v>
      </c>
      <c r="G52" s="36">
        <f t="shared" si="0"/>
        <v>360.3375000000001</v>
      </c>
      <c r="H52" s="36">
        <f t="shared" si="0"/>
        <v>300.2812500000001</v>
      </c>
      <c r="I52" s="36">
        <f t="shared" si="0"/>
        <v>240.2250000000001</v>
      </c>
      <c r="J52" s="36">
        <f t="shared" si="0"/>
        <v>180.1687500000001</v>
      </c>
      <c r="K52" s="36">
        <f t="shared" si="0"/>
        <v>120.1125000000001</v>
      </c>
      <c r="L52" s="36">
        <f t="shared" si="0"/>
        <v>60.05625000000009</v>
      </c>
    </row>
    <row r="53" spans="2:12" ht="12.75">
      <c r="B53" s="21" t="s">
        <v>31</v>
      </c>
      <c r="C53" s="36">
        <f>+C52/C17</f>
        <v>60.05625</v>
      </c>
      <c r="D53" s="36">
        <f>+D52/9</f>
        <v>60.056250000000006</v>
      </c>
      <c r="E53" s="36">
        <f aca="true" t="shared" si="1" ref="E53:L53">+D53</f>
        <v>60.056250000000006</v>
      </c>
      <c r="F53" s="36">
        <f t="shared" si="1"/>
        <v>60.056250000000006</v>
      </c>
      <c r="G53" s="36">
        <f t="shared" si="1"/>
        <v>60.056250000000006</v>
      </c>
      <c r="H53" s="36">
        <f t="shared" si="1"/>
        <v>60.056250000000006</v>
      </c>
      <c r="I53" s="36">
        <f t="shared" si="1"/>
        <v>60.056250000000006</v>
      </c>
      <c r="J53" s="36">
        <f t="shared" si="1"/>
        <v>60.056250000000006</v>
      </c>
      <c r="K53" s="36">
        <f t="shared" si="1"/>
        <v>60.056250000000006</v>
      </c>
      <c r="L53" s="36">
        <f t="shared" si="1"/>
        <v>60.056250000000006</v>
      </c>
    </row>
    <row r="54" spans="2:12" ht="12.75">
      <c r="B54" s="21" t="s">
        <v>32</v>
      </c>
      <c r="C54" s="36">
        <f aca="true" t="shared" si="2" ref="C54:L54">+C52-C53</f>
        <v>540.50625</v>
      </c>
      <c r="D54" s="36">
        <f t="shared" si="2"/>
        <v>480.45000000000005</v>
      </c>
      <c r="E54" s="36">
        <f t="shared" si="2"/>
        <v>420.39375000000007</v>
      </c>
      <c r="F54" s="36">
        <f t="shared" si="2"/>
        <v>360.3375000000001</v>
      </c>
      <c r="G54" s="36">
        <f t="shared" si="2"/>
        <v>300.2812500000001</v>
      </c>
      <c r="H54" s="36">
        <f t="shared" si="2"/>
        <v>240.2250000000001</v>
      </c>
      <c r="I54" s="36">
        <f t="shared" si="2"/>
        <v>180.1687500000001</v>
      </c>
      <c r="J54" s="36">
        <f t="shared" si="2"/>
        <v>120.1125000000001</v>
      </c>
      <c r="K54" s="36">
        <f t="shared" si="2"/>
        <v>60.05625000000009</v>
      </c>
      <c r="L54" s="36">
        <f t="shared" si="2"/>
        <v>8.526512829121202E-14</v>
      </c>
    </row>
    <row r="55" spans="2:21" ht="12.75">
      <c r="B55" s="21" t="s">
        <v>33</v>
      </c>
      <c r="C55" s="36">
        <f aca="true" t="shared" si="3" ref="C55:L55">+AVERAGE(C54,C52)</f>
        <v>570.534375</v>
      </c>
      <c r="D55" s="36">
        <f t="shared" si="3"/>
        <v>510.47812500000003</v>
      </c>
      <c r="E55" s="36">
        <f t="shared" si="3"/>
        <v>450.42187500000006</v>
      </c>
      <c r="F55" s="36">
        <f t="shared" si="3"/>
        <v>390.3656250000001</v>
      </c>
      <c r="G55" s="36">
        <f t="shared" si="3"/>
        <v>330.3093750000001</v>
      </c>
      <c r="H55" s="36">
        <f t="shared" si="3"/>
        <v>270.2531250000001</v>
      </c>
      <c r="I55" s="36">
        <f t="shared" si="3"/>
        <v>210.1968750000001</v>
      </c>
      <c r="J55" s="36">
        <f t="shared" si="3"/>
        <v>150.1406250000001</v>
      </c>
      <c r="K55" s="36">
        <f t="shared" si="3"/>
        <v>90.0843750000001</v>
      </c>
      <c r="L55" s="36">
        <f t="shared" si="3"/>
        <v>30.028125000000088</v>
      </c>
      <c r="R55" s="38"/>
      <c r="S55" s="38"/>
      <c r="T55" s="39"/>
      <c r="U55" s="39"/>
    </row>
    <row r="56" spans="2:21" ht="12.75">
      <c r="B56" s="21" t="s">
        <v>34</v>
      </c>
      <c r="C56" s="36">
        <f aca="true" t="shared" si="4" ref="C56:L56">+C55*$C$16</f>
        <v>65.611453125</v>
      </c>
      <c r="D56" s="36">
        <f t="shared" si="4"/>
        <v>58.70498437500001</v>
      </c>
      <c r="E56" s="36">
        <f t="shared" si="4"/>
        <v>51.79851562500001</v>
      </c>
      <c r="F56" s="36">
        <f t="shared" si="4"/>
        <v>44.89204687500001</v>
      </c>
      <c r="G56" s="36">
        <f t="shared" si="4"/>
        <v>37.98557812500001</v>
      </c>
      <c r="H56" s="36">
        <f t="shared" si="4"/>
        <v>31.079109375000016</v>
      </c>
      <c r="I56" s="36">
        <f t="shared" si="4"/>
        <v>24.17264062500001</v>
      </c>
      <c r="J56" s="36">
        <f t="shared" si="4"/>
        <v>17.266171875000015</v>
      </c>
      <c r="K56" s="36">
        <f t="shared" si="4"/>
        <v>10.359703125000012</v>
      </c>
      <c r="L56" s="36">
        <f t="shared" si="4"/>
        <v>3.4532343750000103</v>
      </c>
      <c r="Q56" s="40"/>
      <c r="R56" s="40"/>
      <c r="S56" s="40"/>
      <c r="T56" s="40"/>
      <c r="U56" s="40"/>
    </row>
    <row r="58" ht="12.75">
      <c r="B58" s="7"/>
    </row>
    <row r="59" spans="2:13" ht="12.75">
      <c r="B59" s="7" t="s">
        <v>73</v>
      </c>
      <c r="L59" s="38"/>
      <c r="M59" s="1" t="s">
        <v>54</v>
      </c>
    </row>
    <row r="60" spans="2:13" ht="12.75">
      <c r="B60" s="11" t="s">
        <v>2</v>
      </c>
      <c r="C60" s="11"/>
      <c r="D60" s="12" t="s">
        <v>3</v>
      </c>
      <c r="E60" s="12" t="s">
        <v>4</v>
      </c>
      <c r="F60" s="12" t="s">
        <v>5</v>
      </c>
      <c r="G60" s="12" t="s">
        <v>6</v>
      </c>
      <c r="H60" s="12" t="s">
        <v>7</v>
      </c>
      <c r="I60" s="12" t="s">
        <v>8</v>
      </c>
      <c r="J60" s="12" t="s">
        <v>9</v>
      </c>
      <c r="K60" s="12" t="s">
        <v>43</v>
      </c>
      <c r="L60" s="12" t="s">
        <v>70</v>
      </c>
      <c r="M60" s="12" t="s">
        <v>81</v>
      </c>
    </row>
    <row r="61" spans="2:13" ht="12.75">
      <c r="B61" s="5" t="s">
        <v>61</v>
      </c>
      <c r="C61" s="1"/>
      <c r="D61" s="10">
        <f>+C9</f>
        <v>84</v>
      </c>
      <c r="E61" s="10">
        <f aca="true" t="shared" si="5" ref="E61:M61">+D61</f>
        <v>84</v>
      </c>
      <c r="F61" s="10">
        <f t="shared" si="5"/>
        <v>84</v>
      </c>
      <c r="G61" s="10">
        <f t="shared" si="5"/>
        <v>84</v>
      </c>
      <c r="H61" s="10">
        <f t="shared" si="5"/>
        <v>84</v>
      </c>
      <c r="I61" s="10">
        <f t="shared" si="5"/>
        <v>84</v>
      </c>
      <c r="J61" s="10">
        <f t="shared" si="5"/>
        <v>84</v>
      </c>
      <c r="K61" s="10">
        <f t="shared" si="5"/>
        <v>84</v>
      </c>
      <c r="L61" s="10">
        <f t="shared" si="5"/>
        <v>84</v>
      </c>
      <c r="M61" s="10">
        <f t="shared" si="5"/>
        <v>84</v>
      </c>
    </row>
    <row r="62" spans="2:13" ht="12.75">
      <c r="B62" s="5" t="s">
        <v>72</v>
      </c>
      <c r="C62" s="1"/>
      <c r="D62" s="10">
        <f>+D61*$C$10</f>
        <v>2.52</v>
      </c>
      <c r="E62" s="10">
        <f aca="true" t="shared" si="6" ref="E62:M62">+D62</f>
        <v>2.52</v>
      </c>
      <c r="F62" s="10">
        <f t="shared" si="6"/>
        <v>2.52</v>
      </c>
      <c r="G62" s="10">
        <f t="shared" si="6"/>
        <v>2.52</v>
      </c>
      <c r="H62" s="10">
        <f t="shared" si="6"/>
        <v>2.52</v>
      </c>
      <c r="I62" s="10">
        <f t="shared" si="6"/>
        <v>2.52</v>
      </c>
      <c r="J62" s="10">
        <f t="shared" si="6"/>
        <v>2.52</v>
      </c>
      <c r="K62" s="10">
        <f t="shared" si="6"/>
        <v>2.52</v>
      </c>
      <c r="L62" s="10">
        <f t="shared" si="6"/>
        <v>2.52</v>
      </c>
      <c r="M62" s="10">
        <f t="shared" si="6"/>
        <v>2.52</v>
      </c>
    </row>
    <row r="63" spans="2:13" ht="12.75">
      <c r="B63" s="21" t="s">
        <v>45</v>
      </c>
      <c r="D63" s="36">
        <f aca="true" t="shared" si="7" ref="D63:M63">+D61-D62</f>
        <v>81.48</v>
      </c>
      <c r="E63" s="36">
        <f t="shared" si="7"/>
        <v>81.48</v>
      </c>
      <c r="F63" s="36">
        <f t="shared" si="7"/>
        <v>81.48</v>
      </c>
      <c r="G63" s="36">
        <f t="shared" si="7"/>
        <v>81.48</v>
      </c>
      <c r="H63" s="36">
        <f t="shared" si="7"/>
        <v>81.48</v>
      </c>
      <c r="I63" s="36">
        <f t="shared" si="7"/>
        <v>81.48</v>
      </c>
      <c r="J63" s="36">
        <f t="shared" si="7"/>
        <v>81.48</v>
      </c>
      <c r="K63" s="36">
        <f t="shared" si="7"/>
        <v>81.48</v>
      </c>
      <c r="L63" s="36">
        <f t="shared" si="7"/>
        <v>81.48</v>
      </c>
      <c r="M63" s="36">
        <f t="shared" si="7"/>
        <v>81.48</v>
      </c>
    </row>
    <row r="64" spans="2:13" ht="12.75">
      <c r="B64" s="21" t="s">
        <v>10</v>
      </c>
      <c r="D64" s="36">
        <f>+C12</f>
        <v>2.9</v>
      </c>
      <c r="E64" s="36">
        <f aca="true" t="shared" si="8" ref="E64:M64">+D64+(D64*$C$13)</f>
        <v>2.9579999999999997</v>
      </c>
      <c r="F64" s="36">
        <f t="shared" si="8"/>
        <v>3.0171599999999996</v>
      </c>
      <c r="G64" s="36">
        <f t="shared" si="8"/>
        <v>3.0775031999999998</v>
      </c>
      <c r="H64" s="36">
        <f t="shared" si="8"/>
        <v>3.1390532639999997</v>
      </c>
      <c r="I64" s="36">
        <f t="shared" si="8"/>
        <v>3.2018343292799996</v>
      </c>
      <c r="J64" s="36">
        <f t="shared" si="8"/>
        <v>3.2658710158655997</v>
      </c>
      <c r="K64" s="36">
        <f t="shared" si="8"/>
        <v>3.3311884361829116</v>
      </c>
      <c r="L64" s="36">
        <f t="shared" si="8"/>
        <v>3.39781220490657</v>
      </c>
      <c r="M64" s="36">
        <f t="shared" si="8"/>
        <v>3.4657684490047016</v>
      </c>
    </row>
    <row r="65" spans="2:13" ht="12.75">
      <c r="B65" s="21" t="s">
        <v>11</v>
      </c>
      <c r="D65" s="36">
        <f aca="true" t="shared" si="9" ref="D65:M65">+D63*D64</f>
        <v>236.292</v>
      </c>
      <c r="E65" s="36">
        <f t="shared" si="9"/>
        <v>241.01783999999998</v>
      </c>
      <c r="F65" s="36">
        <f t="shared" si="9"/>
        <v>245.8381968</v>
      </c>
      <c r="G65" s="36">
        <f t="shared" si="9"/>
        <v>250.754960736</v>
      </c>
      <c r="H65" s="36">
        <f t="shared" si="9"/>
        <v>255.77005995072</v>
      </c>
      <c r="I65" s="36">
        <f t="shared" si="9"/>
        <v>260.8854611497344</v>
      </c>
      <c r="J65" s="36">
        <f t="shared" si="9"/>
        <v>266.1031703727291</v>
      </c>
      <c r="K65" s="36">
        <f t="shared" si="9"/>
        <v>271.42523378018365</v>
      </c>
      <c r="L65" s="36">
        <f t="shared" si="9"/>
        <v>276.8537384557873</v>
      </c>
      <c r="M65" s="36">
        <f t="shared" si="9"/>
        <v>282.3908132249031</v>
      </c>
    </row>
    <row r="66" spans="2:13" ht="12.75">
      <c r="B66" s="21" t="s">
        <v>12</v>
      </c>
      <c r="D66" s="41">
        <f aca="true" t="shared" si="10" ref="D66:M66">+D63*$C$20</f>
        <v>70143.6876</v>
      </c>
      <c r="E66" s="41">
        <f t="shared" si="10"/>
        <v>70143.6876</v>
      </c>
      <c r="F66" s="41">
        <f t="shared" si="10"/>
        <v>70143.6876</v>
      </c>
      <c r="G66" s="41">
        <f t="shared" si="10"/>
        <v>70143.6876</v>
      </c>
      <c r="H66" s="41">
        <f t="shared" si="10"/>
        <v>70143.6876</v>
      </c>
      <c r="I66" s="41">
        <f t="shared" si="10"/>
        <v>70143.6876</v>
      </c>
      <c r="J66" s="41">
        <f t="shared" si="10"/>
        <v>70143.6876</v>
      </c>
      <c r="K66" s="41">
        <f t="shared" si="10"/>
        <v>70143.6876</v>
      </c>
      <c r="L66" s="41">
        <f t="shared" si="10"/>
        <v>70143.6876</v>
      </c>
      <c r="M66" s="41">
        <f t="shared" si="10"/>
        <v>70143.6876</v>
      </c>
    </row>
    <row r="67" spans="2:13" ht="12.75">
      <c r="B67" s="21" t="s">
        <v>62</v>
      </c>
      <c r="D67" s="36">
        <f aca="true" t="shared" si="11" ref="D67:M67">+($D$66*$C$21)*$C$22/1000000</f>
        <v>31.424372044800002</v>
      </c>
      <c r="E67" s="36">
        <f t="shared" si="11"/>
        <v>31.424372044800002</v>
      </c>
      <c r="F67" s="36">
        <f t="shared" si="11"/>
        <v>31.424372044800002</v>
      </c>
      <c r="G67" s="36">
        <f t="shared" si="11"/>
        <v>31.424372044800002</v>
      </c>
      <c r="H67" s="36">
        <f t="shared" si="11"/>
        <v>31.424372044800002</v>
      </c>
      <c r="I67" s="36">
        <f t="shared" si="11"/>
        <v>31.424372044800002</v>
      </c>
      <c r="J67" s="36">
        <f t="shared" si="11"/>
        <v>31.424372044800002</v>
      </c>
      <c r="K67" s="36">
        <f t="shared" si="11"/>
        <v>31.424372044800002</v>
      </c>
      <c r="L67" s="36">
        <f t="shared" si="11"/>
        <v>31.424372044800002</v>
      </c>
      <c r="M67" s="36">
        <f t="shared" si="11"/>
        <v>31.424372044800002</v>
      </c>
    </row>
    <row r="68" spans="2:13" ht="12.75">
      <c r="B68" s="21" t="s">
        <v>13</v>
      </c>
      <c r="D68" s="3">
        <f aca="true" t="shared" si="12" ref="D68:M68">+D65+D67</f>
        <v>267.7163720448</v>
      </c>
      <c r="E68" s="3">
        <f t="shared" si="12"/>
        <v>272.4422120448</v>
      </c>
      <c r="F68" s="3">
        <f t="shared" si="12"/>
        <v>277.2625688448</v>
      </c>
      <c r="G68" s="3">
        <f t="shared" si="12"/>
        <v>282.1793327808</v>
      </c>
      <c r="H68" s="3">
        <f t="shared" si="12"/>
        <v>287.19443199552</v>
      </c>
      <c r="I68" s="3">
        <f t="shared" si="12"/>
        <v>292.3098331945344</v>
      </c>
      <c r="J68" s="3">
        <f t="shared" si="12"/>
        <v>297.5275424175291</v>
      </c>
      <c r="K68" s="3">
        <f t="shared" si="12"/>
        <v>302.84960582498366</v>
      </c>
      <c r="L68" s="3">
        <f t="shared" si="12"/>
        <v>308.27811050058733</v>
      </c>
      <c r="M68" s="3">
        <f t="shared" si="12"/>
        <v>313.81518526970314</v>
      </c>
    </row>
    <row r="69" spans="2:13" ht="12.75">
      <c r="B69" s="1" t="s">
        <v>14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2:13" ht="12.75">
      <c r="B70" s="21" t="s">
        <v>0</v>
      </c>
      <c r="D70" s="36">
        <f>+C37*C14</f>
        <v>38.36</v>
      </c>
      <c r="E70" s="36">
        <f aca="true" t="shared" si="13" ref="E70:M70">+D70+(D70*$C$15)</f>
        <v>42.196</v>
      </c>
      <c r="F70" s="36">
        <f t="shared" si="13"/>
        <v>46.4156</v>
      </c>
      <c r="G70" s="36">
        <f t="shared" si="13"/>
        <v>51.057159999999996</v>
      </c>
      <c r="H70" s="36">
        <f t="shared" si="13"/>
        <v>56.162876</v>
      </c>
      <c r="I70" s="36">
        <f t="shared" si="13"/>
        <v>61.7791636</v>
      </c>
      <c r="J70" s="36">
        <f t="shared" si="13"/>
        <v>67.95707996</v>
      </c>
      <c r="K70" s="36">
        <f t="shared" si="13"/>
        <v>74.752787956</v>
      </c>
      <c r="L70" s="36">
        <f t="shared" si="13"/>
        <v>82.22806675160001</v>
      </c>
      <c r="M70" s="36">
        <f t="shared" si="13"/>
        <v>90.45087342676001</v>
      </c>
    </row>
    <row r="71" spans="2:13" ht="12.75">
      <c r="B71" s="21" t="s">
        <v>15</v>
      </c>
      <c r="D71" s="42">
        <f aca="true" t="shared" si="14" ref="D71:M71">+C56</f>
        <v>65.611453125</v>
      </c>
      <c r="E71" s="42">
        <f t="shared" si="14"/>
        <v>58.70498437500001</v>
      </c>
      <c r="F71" s="42">
        <f t="shared" si="14"/>
        <v>51.79851562500001</v>
      </c>
      <c r="G71" s="42">
        <f t="shared" si="14"/>
        <v>44.89204687500001</v>
      </c>
      <c r="H71" s="42">
        <f t="shared" si="14"/>
        <v>37.98557812500001</v>
      </c>
      <c r="I71" s="42">
        <f t="shared" si="14"/>
        <v>31.079109375000016</v>
      </c>
      <c r="J71" s="42">
        <f t="shared" si="14"/>
        <v>24.17264062500001</v>
      </c>
      <c r="K71" s="42">
        <f t="shared" si="14"/>
        <v>17.266171875000015</v>
      </c>
      <c r="L71" s="42">
        <f t="shared" si="14"/>
        <v>10.359703125000012</v>
      </c>
      <c r="M71" s="42">
        <f t="shared" si="14"/>
        <v>3.4532343750000103</v>
      </c>
    </row>
    <row r="72" spans="2:13" ht="12.75">
      <c r="B72" s="21" t="s">
        <v>86</v>
      </c>
      <c r="D72" s="42">
        <f>+C45*C46</f>
        <v>4.4399999999999995</v>
      </c>
      <c r="E72" s="42">
        <f aca="true" t="shared" si="15" ref="E72:M72">+D72</f>
        <v>4.4399999999999995</v>
      </c>
      <c r="F72" s="42">
        <f t="shared" si="15"/>
        <v>4.4399999999999995</v>
      </c>
      <c r="G72" s="42">
        <f t="shared" si="15"/>
        <v>4.4399999999999995</v>
      </c>
      <c r="H72" s="42">
        <f t="shared" si="15"/>
        <v>4.4399999999999995</v>
      </c>
      <c r="I72" s="42">
        <f t="shared" si="15"/>
        <v>4.4399999999999995</v>
      </c>
      <c r="J72" s="42">
        <f t="shared" si="15"/>
        <v>4.4399999999999995</v>
      </c>
      <c r="K72" s="42">
        <f t="shared" si="15"/>
        <v>4.4399999999999995</v>
      </c>
      <c r="L72" s="42">
        <f t="shared" si="15"/>
        <v>4.4399999999999995</v>
      </c>
      <c r="M72" s="42">
        <f t="shared" si="15"/>
        <v>4.4399999999999995</v>
      </c>
    </row>
    <row r="73" spans="2:14" ht="12.75">
      <c r="B73" s="21" t="s">
        <v>16</v>
      </c>
      <c r="D73" s="36">
        <f>+C41*C18</f>
        <v>32.606</v>
      </c>
      <c r="E73" s="36">
        <f aca="true" t="shared" si="16" ref="E73:M73">+D73</f>
        <v>32.606</v>
      </c>
      <c r="F73" s="36">
        <f t="shared" si="16"/>
        <v>32.606</v>
      </c>
      <c r="G73" s="36">
        <f t="shared" si="16"/>
        <v>32.606</v>
      </c>
      <c r="H73" s="36">
        <f t="shared" si="16"/>
        <v>32.606</v>
      </c>
      <c r="I73" s="36">
        <f t="shared" si="16"/>
        <v>32.606</v>
      </c>
      <c r="J73" s="36">
        <f t="shared" si="16"/>
        <v>32.606</v>
      </c>
      <c r="K73" s="36">
        <f t="shared" si="16"/>
        <v>32.606</v>
      </c>
      <c r="L73" s="36">
        <f t="shared" si="16"/>
        <v>32.606</v>
      </c>
      <c r="M73" s="36">
        <f t="shared" si="16"/>
        <v>32.606</v>
      </c>
      <c r="N73" s="43"/>
    </row>
    <row r="74" spans="2:13" ht="12.75">
      <c r="B74" s="1" t="s">
        <v>17</v>
      </c>
      <c r="D74" s="3">
        <f aca="true" t="shared" si="17" ref="D74:M74">SUM(D70:D73)</f>
        <v>141.017453125</v>
      </c>
      <c r="E74" s="3">
        <f t="shared" si="17"/>
        <v>137.946984375</v>
      </c>
      <c r="F74" s="3">
        <f t="shared" si="17"/>
        <v>135.260115625</v>
      </c>
      <c r="G74" s="3">
        <f t="shared" si="17"/>
        <v>132.995206875</v>
      </c>
      <c r="H74" s="3">
        <f t="shared" si="17"/>
        <v>131.194454125</v>
      </c>
      <c r="I74" s="3">
        <f t="shared" si="17"/>
        <v>129.904272975</v>
      </c>
      <c r="J74" s="3">
        <f t="shared" si="17"/>
        <v>129.17572058500002</v>
      </c>
      <c r="K74" s="3">
        <f t="shared" si="17"/>
        <v>129.064959831</v>
      </c>
      <c r="L74" s="3">
        <f t="shared" si="17"/>
        <v>129.6337698766</v>
      </c>
      <c r="M74" s="3">
        <f t="shared" si="17"/>
        <v>130.95010780176003</v>
      </c>
    </row>
    <row r="75" spans="2:15" ht="12.75">
      <c r="B75" s="21" t="s">
        <v>18</v>
      </c>
      <c r="D75" s="36">
        <f aca="true" t="shared" si="18" ref="D75:M75">+D65-D74</f>
        <v>95.274546875</v>
      </c>
      <c r="E75" s="36">
        <f t="shared" si="18"/>
        <v>103.07085562499998</v>
      </c>
      <c r="F75" s="36">
        <f t="shared" si="18"/>
        <v>110.578081175</v>
      </c>
      <c r="G75" s="36">
        <f t="shared" si="18"/>
        <v>117.75975386099998</v>
      </c>
      <c r="H75" s="36">
        <f t="shared" si="18"/>
        <v>124.57560582572</v>
      </c>
      <c r="I75" s="36">
        <f t="shared" si="18"/>
        <v>130.9811881747344</v>
      </c>
      <c r="J75" s="36">
        <f t="shared" si="18"/>
        <v>136.92744978772907</v>
      </c>
      <c r="K75" s="36">
        <f t="shared" si="18"/>
        <v>142.36027394918364</v>
      </c>
      <c r="L75" s="36">
        <f t="shared" si="18"/>
        <v>147.2199685791873</v>
      </c>
      <c r="M75" s="36">
        <f t="shared" si="18"/>
        <v>151.4407054231431</v>
      </c>
      <c r="O75" s="36"/>
    </row>
    <row r="76" spans="2:13" ht="12.75">
      <c r="B76" s="21" t="s">
        <v>19</v>
      </c>
      <c r="D76" s="36">
        <f aca="true" t="shared" si="19" ref="D76:M76">+D68-D74</f>
        <v>126.69891891979998</v>
      </c>
      <c r="E76" s="36">
        <f t="shared" si="19"/>
        <v>134.4952276698</v>
      </c>
      <c r="F76" s="36">
        <f t="shared" si="19"/>
        <v>142.0024532198</v>
      </c>
      <c r="G76" s="36">
        <f t="shared" si="19"/>
        <v>149.1841259058</v>
      </c>
      <c r="H76" s="36">
        <f t="shared" si="19"/>
        <v>155.99997787052</v>
      </c>
      <c r="I76" s="36">
        <f t="shared" si="19"/>
        <v>162.4055602195344</v>
      </c>
      <c r="J76" s="36">
        <f t="shared" si="19"/>
        <v>168.35182183252908</v>
      </c>
      <c r="K76" s="36">
        <f t="shared" si="19"/>
        <v>173.78464599398364</v>
      </c>
      <c r="L76" s="36">
        <f t="shared" si="19"/>
        <v>178.64434062398732</v>
      </c>
      <c r="M76" s="36">
        <f t="shared" si="19"/>
        <v>182.8650774679431</v>
      </c>
    </row>
    <row r="77" spans="2:15" ht="12.75">
      <c r="B77" s="21" t="s">
        <v>20</v>
      </c>
      <c r="D77" s="36">
        <f aca="true" t="shared" si="20" ref="D77:M77">+D75*$C$19</f>
        <v>10.689804159374999</v>
      </c>
      <c r="E77" s="36">
        <f t="shared" si="20"/>
        <v>11.564550001124998</v>
      </c>
      <c r="F77" s="36">
        <f t="shared" si="20"/>
        <v>12.406860707835</v>
      </c>
      <c r="G77" s="36">
        <f t="shared" si="20"/>
        <v>13.212644383204196</v>
      </c>
      <c r="H77" s="36">
        <f t="shared" si="20"/>
        <v>13.977382973645783</v>
      </c>
      <c r="I77" s="36">
        <f t="shared" si="20"/>
        <v>14.6960893132052</v>
      </c>
      <c r="J77" s="36">
        <f t="shared" si="20"/>
        <v>15.363259866183201</v>
      </c>
      <c r="K77" s="36">
        <f t="shared" si="20"/>
        <v>15.972822737098403</v>
      </c>
      <c r="L77" s="36">
        <f t="shared" si="20"/>
        <v>16.518080474584814</v>
      </c>
      <c r="M77" s="36">
        <f t="shared" si="20"/>
        <v>16.991647148476655</v>
      </c>
      <c r="O77" s="43"/>
    </row>
    <row r="78" spans="2:13" ht="12.75">
      <c r="B78" s="21" t="s">
        <v>21</v>
      </c>
      <c r="D78" s="36">
        <f aca="true" t="shared" si="21" ref="D78:M78">+D76*$C$19</f>
        <v>14.215618702801557</v>
      </c>
      <c r="E78" s="36">
        <f t="shared" si="21"/>
        <v>15.090364544551559</v>
      </c>
      <c r="F78" s="36">
        <f t="shared" si="21"/>
        <v>15.932675251261559</v>
      </c>
      <c r="G78" s="36">
        <f t="shared" si="21"/>
        <v>16.73845892663076</v>
      </c>
      <c r="H78" s="36">
        <f t="shared" si="21"/>
        <v>17.503197517072344</v>
      </c>
      <c r="I78" s="36">
        <f t="shared" si="21"/>
        <v>18.22190385663176</v>
      </c>
      <c r="J78" s="36">
        <f t="shared" si="21"/>
        <v>18.889074409609762</v>
      </c>
      <c r="K78" s="36">
        <f t="shared" si="21"/>
        <v>19.498637280524964</v>
      </c>
      <c r="L78" s="36">
        <f t="shared" si="21"/>
        <v>20.043895018011376</v>
      </c>
      <c r="M78" s="36">
        <f t="shared" si="21"/>
        <v>20.517461691903215</v>
      </c>
    </row>
    <row r="79" spans="2:13" ht="12.75">
      <c r="B79" s="21" t="s">
        <v>22</v>
      </c>
      <c r="D79" s="36">
        <f aca="true" t="shared" si="22" ref="D79:M79">+D75-D77</f>
        <v>84.584742715625</v>
      </c>
      <c r="E79" s="36">
        <f t="shared" si="22"/>
        <v>91.50630562387498</v>
      </c>
      <c r="F79" s="36">
        <f t="shared" si="22"/>
        <v>98.171220467165</v>
      </c>
      <c r="G79" s="36">
        <f t="shared" si="22"/>
        <v>104.54710947779579</v>
      </c>
      <c r="H79" s="36">
        <f t="shared" si="22"/>
        <v>110.59822285207422</v>
      </c>
      <c r="I79" s="36">
        <f t="shared" si="22"/>
        <v>116.2850988615292</v>
      </c>
      <c r="J79" s="36">
        <f t="shared" si="22"/>
        <v>121.56418992154587</v>
      </c>
      <c r="K79" s="36">
        <f t="shared" si="22"/>
        <v>126.38745121208524</v>
      </c>
      <c r="L79" s="36">
        <f t="shared" si="22"/>
        <v>130.7018881046025</v>
      </c>
      <c r="M79" s="36">
        <f t="shared" si="22"/>
        <v>134.44905827466644</v>
      </c>
    </row>
    <row r="80" spans="2:13" ht="12.75">
      <c r="B80" s="21" t="s">
        <v>23</v>
      </c>
      <c r="D80" s="36">
        <f aca="true" t="shared" si="23" ref="D80:M80">+D76-D78</f>
        <v>112.48330021699843</v>
      </c>
      <c r="E80" s="36">
        <f t="shared" si="23"/>
        <v>119.40486312524843</v>
      </c>
      <c r="F80" s="36">
        <f t="shared" si="23"/>
        <v>126.06977796853845</v>
      </c>
      <c r="G80" s="36">
        <f t="shared" si="23"/>
        <v>132.44566697916923</v>
      </c>
      <c r="H80" s="36">
        <f t="shared" si="23"/>
        <v>138.49678035344766</v>
      </c>
      <c r="I80" s="36">
        <f t="shared" si="23"/>
        <v>144.18365636290264</v>
      </c>
      <c r="J80" s="36">
        <f t="shared" si="23"/>
        <v>149.46274742291934</v>
      </c>
      <c r="K80" s="36">
        <f t="shared" si="23"/>
        <v>154.28600871345867</v>
      </c>
      <c r="L80" s="36">
        <f t="shared" si="23"/>
        <v>158.60044560597595</v>
      </c>
      <c r="M80" s="36">
        <f t="shared" si="23"/>
        <v>162.3476157760399</v>
      </c>
    </row>
    <row r="81" spans="2:14" ht="12.75">
      <c r="B81" s="38"/>
      <c r="C81" s="38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" t="s">
        <v>44</v>
      </c>
    </row>
    <row r="82" spans="2:14" ht="12.75">
      <c r="B82" s="38" t="s">
        <v>24</v>
      </c>
      <c r="C82" s="44">
        <f>-C37</f>
        <v>-959</v>
      </c>
      <c r="D82" s="44">
        <f>+(D79+D73+D71)</f>
        <v>182.802195840625</v>
      </c>
      <c r="E82" s="44">
        <f aca="true" t="shared" si="24" ref="E82:M82">+(E79+E73+E71)</f>
        <v>182.817289998875</v>
      </c>
      <c r="F82" s="44">
        <f t="shared" si="24"/>
        <v>182.57573609216502</v>
      </c>
      <c r="G82" s="44">
        <f t="shared" si="24"/>
        <v>182.0451563527958</v>
      </c>
      <c r="H82" s="44">
        <f t="shared" si="24"/>
        <v>181.18980097707424</v>
      </c>
      <c r="I82" s="44">
        <f t="shared" si="24"/>
        <v>179.97020823652923</v>
      </c>
      <c r="J82" s="44">
        <f t="shared" si="24"/>
        <v>178.34283054654588</v>
      </c>
      <c r="K82" s="44">
        <f t="shared" si="24"/>
        <v>176.25962308708526</v>
      </c>
      <c r="L82" s="44">
        <f t="shared" si="24"/>
        <v>173.6675912296025</v>
      </c>
      <c r="M82" s="44">
        <f t="shared" si="24"/>
        <v>170.50829264966646</v>
      </c>
      <c r="N82" s="44">
        <f>+E114</f>
        <v>190.86809039548024</v>
      </c>
    </row>
    <row r="83" spans="2:14" ht="12.75">
      <c r="B83" s="38" t="s">
        <v>25</v>
      </c>
      <c r="C83" s="44">
        <f>+C82</f>
        <v>-959</v>
      </c>
      <c r="D83" s="44">
        <f>+(D80+D73+D71)</f>
        <v>210.70075334199842</v>
      </c>
      <c r="E83" s="44">
        <f aca="true" t="shared" si="25" ref="E83:M83">+(E80+E73+E71)</f>
        <v>210.71584750024843</v>
      </c>
      <c r="F83" s="44">
        <f t="shared" si="25"/>
        <v>210.47429359353845</v>
      </c>
      <c r="G83" s="44">
        <f t="shared" si="25"/>
        <v>209.94371385416923</v>
      </c>
      <c r="H83" s="44">
        <f t="shared" si="25"/>
        <v>209.08835847844767</v>
      </c>
      <c r="I83" s="44">
        <f t="shared" si="25"/>
        <v>207.86876573790266</v>
      </c>
      <c r="J83" s="44">
        <f t="shared" si="25"/>
        <v>206.24138804791934</v>
      </c>
      <c r="K83" s="44">
        <f t="shared" si="25"/>
        <v>204.1581805884587</v>
      </c>
      <c r="L83" s="44">
        <f t="shared" si="25"/>
        <v>201.56614873097595</v>
      </c>
      <c r="M83" s="44">
        <f t="shared" si="25"/>
        <v>198.40685015103992</v>
      </c>
      <c r="N83" s="44">
        <f>+N82</f>
        <v>190.86809039548024</v>
      </c>
    </row>
    <row r="84" spans="2:14" ht="12.75">
      <c r="B84" s="38"/>
      <c r="C84" s="40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2:14" ht="12.75">
      <c r="B85" s="7" t="s">
        <v>26</v>
      </c>
      <c r="C85" s="13">
        <f>IRR(C82:N82)</f>
        <v>0.14672999278396362</v>
      </c>
      <c r="D85" s="39"/>
      <c r="E85" s="39"/>
      <c r="F85" s="6"/>
      <c r="G85" s="6"/>
      <c r="H85" s="4"/>
      <c r="I85" s="6"/>
      <c r="J85" s="39"/>
      <c r="K85" s="39"/>
      <c r="L85" s="39"/>
      <c r="M85" s="39"/>
      <c r="N85" s="39"/>
    </row>
    <row r="86" spans="2:14" ht="12.75">
      <c r="B86" s="7" t="s">
        <v>27</v>
      </c>
      <c r="C86" s="13">
        <f>IRR(C83:N83,10%)</f>
        <v>0.18252603801894157</v>
      </c>
      <c r="D86" s="39"/>
      <c r="E86" s="39"/>
      <c r="F86" s="6"/>
      <c r="G86" s="6"/>
      <c r="H86" s="4"/>
      <c r="I86" s="6"/>
      <c r="J86" s="39"/>
      <c r="K86" s="39"/>
      <c r="L86" s="39"/>
      <c r="M86" s="39"/>
      <c r="N86" s="39"/>
    </row>
    <row r="87" spans="2:13" ht="12.75">
      <c r="B87" s="38"/>
      <c r="C87" s="38"/>
      <c r="D87" s="44"/>
      <c r="E87" s="44"/>
      <c r="F87" s="44"/>
      <c r="G87" s="44"/>
      <c r="H87" s="44"/>
      <c r="I87" s="44"/>
      <c r="J87" s="44"/>
      <c r="K87" s="44"/>
      <c r="L87" s="38"/>
      <c r="M87" s="38"/>
    </row>
    <row r="88" spans="2:13" ht="12.75">
      <c r="B88" s="38"/>
      <c r="C88" s="38"/>
      <c r="D88" s="44"/>
      <c r="E88" s="44"/>
      <c r="F88" s="44"/>
      <c r="G88" s="44"/>
      <c r="H88" s="44"/>
      <c r="I88" s="44"/>
      <c r="J88" s="44"/>
      <c r="K88" s="44"/>
      <c r="L88" s="38"/>
      <c r="M88" s="38"/>
    </row>
    <row r="89" spans="2:13" ht="12.75">
      <c r="B89" s="38"/>
      <c r="C89" s="38"/>
      <c r="D89" s="44"/>
      <c r="E89" s="44"/>
      <c r="F89" s="44"/>
      <c r="G89" s="44"/>
      <c r="H89" s="44"/>
      <c r="I89" s="44"/>
      <c r="J89" s="44"/>
      <c r="K89" s="44"/>
      <c r="L89" s="38"/>
      <c r="M89" s="38"/>
    </row>
    <row r="90" spans="2:13" ht="12.75">
      <c r="B90" s="38"/>
      <c r="C90" s="38"/>
      <c r="D90" s="44"/>
      <c r="E90" s="44"/>
      <c r="F90" s="44"/>
      <c r="G90" s="44"/>
      <c r="H90" s="44"/>
      <c r="I90" s="44"/>
      <c r="J90" s="44"/>
      <c r="K90" s="44"/>
      <c r="L90" s="38"/>
      <c r="M90" s="38"/>
    </row>
    <row r="91" spans="2:13" ht="12.75">
      <c r="B91" s="38"/>
      <c r="C91" s="38"/>
      <c r="D91" s="44"/>
      <c r="E91" s="44"/>
      <c r="F91" s="44"/>
      <c r="G91" s="44"/>
      <c r="H91" s="44"/>
      <c r="I91" s="44"/>
      <c r="J91" s="44"/>
      <c r="K91" s="44"/>
      <c r="L91" s="38"/>
      <c r="M91" s="38"/>
    </row>
    <row r="92" spans="2:13" ht="12.75">
      <c r="B92" s="38"/>
      <c r="C92" s="38"/>
      <c r="D92" s="44"/>
      <c r="E92" s="44"/>
      <c r="F92" s="44"/>
      <c r="G92" s="44"/>
      <c r="H92" s="44"/>
      <c r="I92" s="44"/>
      <c r="J92" s="44"/>
      <c r="K92" s="44"/>
      <c r="L92" s="38"/>
      <c r="M92" s="38"/>
    </row>
    <row r="93" spans="2:13" ht="12.75">
      <c r="B93" s="38"/>
      <c r="C93" s="38"/>
      <c r="D93" s="44"/>
      <c r="E93" s="44"/>
      <c r="F93" s="44"/>
      <c r="G93" s="44"/>
      <c r="H93" s="44"/>
      <c r="I93" s="44"/>
      <c r="J93" s="44"/>
      <c r="K93" s="44"/>
      <c r="L93" s="38"/>
      <c r="M93" s="38"/>
    </row>
    <row r="94" spans="2:13" ht="12.75">
      <c r="B94" s="38"/>
      <c r="C94" s="38"/>
      <c r="D94" s="44"/>
      <c r="E94" s="44"/>
      <c r="F94" s="44"/>
      <c r="G94" s="44"/>
      <c r="H94" s="44"/>
      <c r="I94" s="44"/>
      <c r="J94" s="44"/>
      <c r="K94" s="44"/>
      <c r="L94" s="38"/>
      <c r="M94" s="38"/>
    </row>
    <row r="95" spans="2:6" ht="15.75">
      <c r="B95" s="57" t="s">
        <v>100</v>
      </c>
      <c r="C95" s="58"/>
      <c r="D95" s="58"/>
      <c r="E95" s="58"/>
      <c r="F95"/>
    </row>
    <row r="96" spans="2:6" ht="12.75">
      <c r="B96" s="59"/>
      <c r="C96" s="59"/>
      <c r="D96" s="59"/>
      <c r="E96" s="59"/>
      <c r="F96" s="1" t="s">
        <v>54</v>
      </c>
    </row>
    <row r="97" spans="2:6" ht="15.75">
      <c r="B97" s="60" t="s">
        <v>90</v>
      </c>
      <c r="C97" s="60" t="s">
        <v>91</v>
      </c>
      <c r="D97" s="60" t="s">
        <v>92</v>
      </c>
      <c r="E97" s="60" t="s">
        <v>93</v>
      </c>
      <c r="F97" s="60" t="s">
        <v>1</v>
      </c>
    </row>
    <row r="98" spans="2:6" ht="15.75">
      <c r="B98" s="61"/>
      <c r="C98" s="62" t="s">
        <v>94</v>
      </c>
      <c r="D98" s="62" t="s">
        <v>95</v>
      </c>
      <c r="E98" s="62" t="s">
        <v>96</v>
      </c>
      <c r="F98" s="62" t="s">
        <v>94</v>
      </c>
    </row>
    <row r="99" spans="2:6" ht="12.75">
      <c r="B99" s="59"/>
      <c r="C99" s="59" t="s">
        <v>97</v>
      </c>
      <c r="D99" s="59"/>
      <c r="E99" s="59"/>
      <c r="F99" s="59"/>
    </row>
    <row r="100" spans="2:6" ht="12.75">
      <c r="B100" s="31" t="s">
        <v>74</v>
      </c>
      <c r="C100" s="43">
        <f>+C29</f>
        <v>25</v>
      </c>
      <c r="D100" s="43">
        <f>+($D$104/$C$104)*C100</f>
        <v>1.3559322033898304</v>
      </c>
      <c r="E100" s="43">
        <f>+($E$104/$C$104)*C100</f>
        <v>0.7344632768361582</v>
      </c>
      <c r="F100" s="43">
        <f>+C100+D100+E100</f>
        <v>27.09039548022599</v>
      </c>
    </row>
    <row r="101" spans="2:6" ht="12.75">
      <c r="B101" s="31" t="s">
        <v>75</v>
      </c>
      <c r="C101" s="43">
        <f>+C30</f>
        <v>402</v>
      </c>
      <c r="D101" s="43">
        <f>+($D$104/$C$104)*C101</f>
        <v>21.803389830508475</v>
      </c>
      <c r="E101" s="43">
        <f>+($E$104/$C$104)*C101</f>
        <v>11.810169491525423</v>
      </c>
      <c r="F101" s="43">
        <f>+C101+D101+E101</f>
        <v>435.6135593220339</v>
      </c>
    </row>
    <row r="102" spans="2:6" ht="12.75">
      <c r="B102" s="31" t="s">
        <v>76</v>
      </c>
      <c r="C102" s="43">
        <f>+C31</f>
        <v>458</v>
      </c>
      <c r="D102" s="43">
        <f>+($D$104/$C$104)*C102</f>
        <v>24.840677966101694</v>
      </c>
      <c r="E102" s="43">
        <f>+($E$104/$C$104)*C102</f>
        <v>13.455367231638418</v>
      </c>
      <c r="F102" s="43">
        <f>+C102+D102+E102</f>
        <v>496.2960451977401</v>
      </c>
    </row>
    <row r="103" spans="2:6" ht="12.75">
      <c r="B103" s="63"/>
      <c r="C103" s="64"/>
      <c r="D103" s="64"/>
      <c r="E103" s="64"/>
      <c r="F103" s="64"/>
    </row>
    <row r="104" spans="2:6" ht="16.5" thickBot="1">
      <c r="B104" s="65" t="s">
        <v>1</v>
      </c>
      <c r="C104" s="66">
        <f>SUM(C100:C103)</f>
        <v>885</v>
      </c>
      <c r="D104" s="66">
        <f>+C32+C34+C36</f>
        <v>48</v>
      </c>
      <c r="E104" s="66">
        <f>+C35</f>
        <v>26</v>
      </c>
      <c r="F104" s="66">
        <f>+E104+D104+C104</f>
        <v>959</v>
      </c>
    </row>
    <row r="107" spans="2:5" ht="12.75">
      <c r="B107" s="67" t="s">
        <v>101</v>
      </c>
      <c r="C107"/>
      <c r="D107"/>
      <c r="E107"/>
    </row>
    <row r="108" spans="2:5" ht="25.5">
      <c r="B108" s="68" t="s">
        <v>90</v>
      </c>
      <c r="C108" s="12" t="s">
        <v>94</v>
      </c>
      <c r="D108" s="69" t="s">
        <v>98</v>
      </c>
      <c r="E108" s="70" t="s">
        <v>99</v>
      </c>
    </row>
    <row r="109" spans="2:5" ht="12.75">
      <c r="B109" s="71"/>
      <c r="C109" s="71"/>
      <c r="D109" s="71"/>
      <c r="E109" s="71"/>
    </row>
    <row r="110" spans="2:5" ht="12.75">
      <c r="B110" s="31" t="s">
        <v>74</v>
      </c>
      <c r="C110" s="72">
        <f>+F100</f>
        <v>27.09039548022599</v>
      </c>
      <c r="D110" s="73">
        <v>0</v>
      </c>
      <c r="E110" s="72">
        <f>+C110</f>
        <v>27.09039548022599</v>
      </c>
    </row>
    <row r="111" spans="2:5" ht="12.75">
      <c r="B111" s="31" t="s">
        <v>75</v>
      </c>
      <c r="C111" s="72">
        <f>+F101</f>
        <v>435.6135593220339</v>
      </c>
      <c r="D111" s="74">
        <f>+($D$114/$C$114)*C111</f>
        <v>148.10861016949153</v>
      </c>
      <c r="E111" s="73">
        <v>0</v>
      </c>
    </row>
    <row r="112" spans="2:5" ht="12.75">
      <c r="B112" s="31" t="s">
        <v>76</v>
      </c>
      <c r="C112" s="72">
        <f>+F102</f>
        <v>496.2960451977401</v>
      </c>
      <c r="D112" s="74">
        <f>+($D$114/$C$114)*C112</f>
        <v>168.74065536723165</v>
      </c>
      <c r="E112" s="74">
        <f>+(C112-D112)*50%</f>
        <v>163.77769491525424</v>
      </c>
    </row>
    <row r="113" spans="2:5" ht="12.75">
      <c r="B113" s="31"/>
      <c r="C113" s="72"/>
      <c r="D113" s="74"/>
      <c r="E113" s="74"/>
    </row>
    <row r="114" spans="2:5" ht="12.75">
      <c r="B114" s="75" t="s">
        <v>1</v>
      </c>
      <c r="C114" s="76">
        <f>SUM(C110:C112)</f>
        <v>959</v>
      </c>
      <c r="D114" s="76">
        <f>SUM(D73:M73)</f>
        <v>326.06</v>
      </c>
      <c r="E114" s="76">
        <f>SUM(E110:E112)</f>
        <v>190.86809039548024</v>
      </c>
    </row>
    <row r="115" spans="2:5" ht="12.75">
      <c r="B115" s="71"/>
      <c r="C115" s="71"/>
      <c r="D115" s="71"/>
      <c r="E115" s="71"/>
    </row>
    <row r="116" spans="1:11" ht="12.75">
      <c r="A116" s="38"/>
      <c r="B116" s="38"/>
      <c r="C116" s="39"/>
      <c r="D116" s="49"/>
      <c r="E116" s="38"/>
      <c r="F116" s="38"/>
      <c r="G116" s="38"/>
      <c r="H116" s="39"/>
      <c r="I116" s="45"/>
      <c r="J116" s="38"/>
      <c r="K116" s="38"/>
    </row>
    <row r="117" spans="1:11" ht="12.75">
      <c r="A117" s="38"/>
      <c r="B117" s="47"/>
      <c r="C117" s="39"/>
      <c r="D117" s="49"/>
      <c r="E117" s="38"/>
      <c r="F117" s="38"/>
      <c r="G117" s="38"/>
      <c r="H117" s="39"/>
      <c r="I117" s="51"/>
      <c r="J117" s="38"/>
      <c r="K117" s="38"/>
    </row>
    <row r="118" spans="1:11" ht="12.75">
      <c r="A118" s="38"/>
      <c r="B118" s="38"/>
      <c r="C118" s="39"/>
      <c r="D118" s="49"/>
      <c r="E118" s="38"/>
      <c r="F118" s="38"/>
      <c r="G118" s="47"/>
      <c r="H118" s="39"/>
      <c r="I118" s="39"/>
      <c r="J118" s="38"/>
      <c r="K118" s="38"/>
    </row>
    <row r="119" spans="1:11" ht="12.75">
      <c r="A119" s="38"/>
      <c r="B119" s="38"/>
      <c r="C119" s="39"/>
      <c r="D119" s="49"/>
      <c r="E119" s="38"/>
      <c r="F119" s="38"/>
      <c r="G119" s="38"/>
      <c r="H119" s="39"/>
      <c r="I119" s="49"/>
      <c r="J119" s="38"/>
      <c r="K119" s="38"/>
    </row>
    <row r="120" spans="1:11" ht="12.75">
      <c r="A120" s="38"/>
      <c r="B120" s="38"/>
      <c r="C120" s="38"/>
      <c r="D120" s="39"/>
      <c r="E120" s="38"/>
      <c r="F120" s="38"/>
      <c r="G120" s="38"/>
      <c r="H120" s="39"/>
      <c r="I120" s="46"/>
      <c r="J120" s="38"/>
      <c r="K120" s="38"/>
    </row>
    <row r="121" spans="1:11" ht="12.75">
      <c r="A121" s="38"/>
      <c r="B121" s="38"/>
      <c r="C121" s="38"/>
      <c r="D121" s="38"/>
      <c r="E121" s="38"/>
      <c r="F121" s="38"/>
      <c r="G121" s="38"/>
      <c r="H121" s="39"/>
      <c r="I121" s="39"/>
      <c r="J121" s="38"/>
      <c r="K121" s="38"/>
    </row>
    <row r="122" spans="1:11" ht="12.75">
      <c r="A122" s="38"/>
      <c r="B122" s="38"/>
      <c r="C122" s="38"/>
      <c r="D122" s="38"/>
      <c r="E122" s="38"/>
      <c r="F122" s="38"/>
      <c r="G122" s="38"/>
      <c r="H122" s="39"/>
      <c r="I122" s="49"/>
      <c r="J122" s="38"/>
      <c r="K122" s="38"/>
    </row>
    <row r="123" spans="1:11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>
      <c r="A125" s="38"/>
      <c r="B125" s="38"/>
      <c r="C125" s="39"/>
      <c r="D125" s="39"/>
      <c r="E125" s="39"/>
      <c r="F125" s="38"/>
      <c r="G125" s="52"/>
      <c r="H125" s="38"/>
      <c r="I125" s="52"/>
      <c r="J125" s="52"/>
      <c r="K125" s="52"/>
    </row>
    <row r="126" spans="1:11" ht="12.75">
      <c r="A126" s="38"/>
      <c r="B126" s="38"/>
      <c r="C126" s="38"/>
      <c r="D126" s="39"/>
      <c r="E126" s="39"/>
      <c r="F126" s="38"/>
      <c r="G126" s="38"/>
      <c r="H126" s="39"/>
      <c r="I126" s="45"/>
      <c r="J126" s="45"/>
      <c r="K126" s="38"/>
    </row>
    <row r="127" spans="1:11" ht="12.75">
      <c r="A127" s="38"/>
      <c r="B127" s="38"/>
      <c r="C127" s="39"/>
      <c r="D127" s="39"/>
      <c r="E127" s="39"/>
      <c r="F127" s="38"/>
      <c r="G127" s="52"/>
      <c r="H127" s="44"/>
      <c r="I127" s="39"/>
      <c r="J127" s="39"/>
      <c r="K127" s="38"/>
    </row>
    <row r="128" spans="1:11" ht="12.75">
      <c r="A128" s="38"/>
      <c r="B128" s="38"/>
      <c r="C128" s="46"/>
      <c r="D128" s="46"/>
      <c r="E128" s="46"/>
      <c r="F128" s="38"/>
      <c r="G128" s="50"/>
      <c r="H128" s="46"/>
      <c r="I128" s="45"/>
      <c r="J128" s="45"/>
      <c r="K128" s="38"/>
    </row>
    <row r="129" spans="1:11" ht="12.75">
      <c r="A129" s="38"/>
      <c r="B129" s="38"/>
      <c r="C129" s="39"/>
      <c r="D129" s="39"/>
      <c r="E129" s="39"/>
      <c r="F129" s="38"/>
      <c r="G129" s="48"/>
      <c r="H129" s="46"/>
      <c r="I129" s="45"/>
      <c r="J129" s="45"/>
      <c r="K129" s="38"/>
    </row>
    <row r="130" spans="1:11" ht="12.75">
      <c r="A130" s="38"/>
      <c r="B130" s="38"/>
      <c r="C130" s="46"/>
      <c r="D130" s="46"/>
      <c r="E130" s="46"/>
      <c r="F130" s="38"/>
      <c r="G130" s="50"/>
      <c r="H130" s="46"/>
      <c r="I130" s="45"/>
      <c r="J130" s="45"/>
      <c r="K130" s="53"/>
    </row>
    <row r="131" spans="1:11" ht="12.75">
      <c r="A131" s="38"/>
      <c r="B131" s="38"/>
      <c r="C131" s="39"/>
      <c r="D131" s="39"/>
      <c r="E131" s="39"/>
      <c r="F131" s="38"/>
      <c r="G131" s="38"/>
      <c r="H131" s="39"/>
      <c r="I131" s="39"/>
      <c r="J131" s="39"/>
      <c r="K131" s="38"/>
    </row>
    <row r="132" spans="1:11" ht="12.75">
      <c r="A132" s="38"/>
      <c r="B132" s="38"/>
      <c r="C132" s="39"/>
      <c r="D132" s="39"/>
      <c r="E132" s="39"/>
      <c r="F132" s="38"/>
      <c r="G132" s="38"/>
      <c r="H132" s="38"/>
      <c r="I132" s="38"/>
      <c r="J132" s="38"/>
      <c r="K132" s="38"/>
    </row>
    <row r="133" spans="1:11" ht="12.75">
      <c r="A133" s="38"/>
      <c r="B133" s="8"/>
      <c r="C133" s="9"/>
      <c r="D133" s="9"/>
      <c r="E133" s="9"/>
      <c r="F133" s="38"/>
      <c r="G133" s="38"/>
      <c r="H133" s="38"/>
      <c r="I133" s="38"/>
      <c r="J133" s="38"/>
      <c r="K133" s="38"/>
    </row>
    <row r="134" spans="1:11" ht="12.75">
      <c r="A134" s="38"/>
      <c r="B134" s="47"/>
      <c r="C134" s="45"/>
      <c r="D134" s="45"/>
      <c r="E134" s="45"/>
      <c r="F134" s="38"/>
      <c r="G134" s="38"/>
      <c r="H134" s="38"/>
      <c r="I134" s="38"/>
      <c r="J134" s="38"/>
      <c r="K134" s="38"/>
    </row>
    <row r="135" spans="1:11" ht="12.75">
      <c r="A135" s="38"/>
      <c r="B135" s="47"/>
      <c r="C135" s="45"/>
      <c r="D135" s="45"/>
      <c r="E135" s="45"/>
      <c r="F135" s="38"/>
      <c r="G135" s="38"/>
      <c r="H135" s="38"/>
      <c r="I135" s="38"/>
      <c r="J135" s="38"/>
      <c r="K135" s="38"/>
    </row>
    <row r="136" spans="1:11" ht="12.75">
      <c r="A136" s="38"/>
      <c r="B136" s="47"/>
      <c r="C136" s="54"/>
      <c r="D136" s="38"/>
      <c r="E136" s="38"/>
      <c r="F136" s="38"/>
      <c r="G136" s="38"/>
      <c r="H136" s="38"/>
      <c r="I136" s="38"/>
      <c r="J136" s="38"/>
      <c r="K136" s="38"/>
    </row>
    <row r="137" spans="1:11" ht="12.75">
      <c r="A137" s="38"/>
      <c r="B137" s="38"/>
      <c r="C137" s="38"/>
      <c r="D137" s="38"/>
      <c r="E137" s="38"/>
      <c r="F137" s="38"/>
      <c r="G137" s="38"/>
      <c r="H137" s="39"/>
      <c r="I137" s="46"/>
      <c r="J137" s="45"/>
      <c r="K137" s="45"/>
    </row>
    <row r="138" spans="1:11" ht="12.75">
      <c r="A138" s="38"/>
      <c r="B138" s="38"/>
      <c r="C138" s="38"/>
      <c r="D138" s="38"/>
      <c r="E138" s="38"/>
      <c r="F138" s="38"/>
      <c r="G138" s="38"/>
      <c r="H138" s="39"/>
      <c r="I138" s="46"/>
      <c r="J138" s="45"/>
      <c r="K138" s="45"/>
    </row>
    <row r="139" spans="1:11" ht="12.75">
      <c r="A139" s="38"/>
      <c r="B139" s="38"/>
      <c r="C139" s="55"/>
      <c r="D139" s="38"/>
      <c r="E139" s="38"/>
      <c r="F139" s="38"/>
      <c r="G139" s="38"/>
      <c r="H139" s="39"/>
      <c r="I139" s="46"/>
      <c r="J139" s="45"/>
      <c r="K139" s="45"/>
    </row>
    <row r="140" spans="1:11" ht="12.75">
      <c r="A140" s="38"/>
      <c r="B140" s="38"/>
      <c r="C140" s="38"/>
      <c r="D140" s="38"/>
      <c r="E140" s="38"/>
      <c r="F140" s="38"/>
      <c r="G140" s="39"/>
      <c r="H140" s="38"/>
      <c r="I140" s="39"/>
      <c r="J140" s="45"/>
      <c r="K140" s="45"/>
    </row>
    <row r="141" spans="1:11" ht="12.75">
      <c r="A141" s="38"/>
      <c r="B141" s="38"/>
      <c r="C141" s="38"/>
      <c r="D141" s="38"/>
      <c r="E141" s="38"/>
      <c r="F141" s="38"/>
      <c r="G141" s="38"/>
      <c r="H141" s="38"/>
      <c r="I141" s="38"/>
      <c r="J141" s="4"/>
      <c r="K141" s="44"/>
    </row>
    <row r="142" spans="1:1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>
      <c r="A145" s="38"/>
      <c r="B145" s="7"/>
      <c r="C145" s="39"/>
      <c r="D145" s="38"/>
      <c r="E145" s="38"/>
      <c r="F145" s="38"/>
      <c r="G145" s="8"/>
      <c r="H145" s="38"/>
      <c r="I145" s="38"/>
      <c r="J145" s="38"/>
      <c r="K145" s="38"/>
    </row>
    <row r="146" spans="1:11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>
      <c r="A147" s="38"/>
      <c r="B147" s="38"/>
      <c r="C147" s="39"/>
      <c r="D147" s="44"/>
      <c r="E147" s="38"/>
      <c r="F147" s="38"/>
      <c r="G147" s="38"/>
      <c r="H147" s="38"/>
      <c r="I147" s="38"/>
      <c r="J147" s="38"/>
      <c r="K147" s="38"/>
    </row>
    <row r="148" spans="1:11" ht="12.75">
      <c r="A148" s="38"/>
      <c r="B148" s="38"/>
      <c r="C148" s="39"/>
      <c r="D148" s="44"/>
      <c r="E148" s="38"/>
      <c r="F148" s="38"/>
      <c r="G148" s="38"/>
      <c r="H148" s="38"/>
      <c r="I148" s="38"/>
      <c r="J148" s="38"/>
      <c r="K148" s="38"/>
    </row>
    <row r="149" spans="1:11" ht="12.75">
      <c r="A149" s="38"/>
      <c r="B149" s="38"/>
      <c r="C149" s="39"/>
      <c r="D149" s="44"/>
      <c r="E149" s="38"/>
      <c r="F149" s="38"/>
      <c r="G149" s="38"/>
      <c r="H149" s="38"/>
      <c r="I149" s="38"/>
      <c r="J149" s="38"/>
      <c r="K149" s="38"/>
    </row>
    <row r="150" spans="1:11" ht="12.75">
      <c r="A150" s="38"/>
      <c r="B150" s="38"/>
      <c r="C150" s="39"/>
      <c r="D150" s="39"/>
      <c r="E150" s="38"/>
      <c r="F150" s="38"/>
      <c r="G150" s="38"/>
      <c r="H150" s="38"/>
      <c r="I150" s="38"/>
      <c r="J150" s="38"/>
      <c r="K150" s="38"/>
    </row>
    <row r="151" spans="1:11" ht="12.75">
      <c r="A151" s="38"/>
      <c r="B151" s="38"/>
      <c r="C151" s="38"/>
      <c r="D151" s="44"/>
      <c r="E151" s="38"/>
      <c r="F151" s="38"/>
      <c r="G151" s="38"/>
      <c r="H151" s="38"/>
      <c r="I151" s="38"/>
      <c r="J151" s="38"/>
      <c r="K151" s="38"/>
    </row>
    <row r="152" spans="1:11" ht="12.75">
      <c r="A152" s="38"/>
      <c r="B152" s="38"/>
      <c r="C152" s="46"/>
      <c r="D152" s="44"/>
      <c r="E152" s="38"/>
      <c r="F152" s="38"/>
      <c r="G152" s="38"/>
      <c r="H152" s="38"/>
      <c r="I152" s="38"/>
      <c r="J152" s="38"/>
      <c r="K152" s="38"/>
    </row>
    <row r="153" spans="1:11" ht="12.75">
      <c r="A153" s="38"/>
      <c r="B153" s="38"/>
      <c r="C153" s="46"/>
      <c r="D153" s="44"/>
      <c r="E153" s="38"/>
      <c r="F153" s="38"/>
      <c r="G153" s="38"/>
      <c r="H153" s="38"/>
      <c r="I153" s="38"/>
      <c r="J153" s="38"/>
      <c r="K153" s="38"/>
    </row>
    <row r="154" spans="1:11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12.75">
      <c r="A155" s="38"/>
      <c r="B155" s="38"/>
      <c r="C155" s="38"/>
      <c r="D155" s="38"/>
      <c r="E155" s="38"/>
      <c r="F155" s="38"/>
      <c r="G155" s="38"/>
      <c r="H155" s="46"/>
      <c r="I155" s="38"/>
      <c r="J155" s="38"/>
      <c r="K155" s="38"/>
    </row>
    <row r="156" spans="1:11" ht="12.75">
      <c r="A156" s="38"/>
      <c r="B156" s="38"/>
      <c r="C156" s="38"/>
      <c r="D156" s="38"/>
      <c r="E156" s="38"/>
      <c r="F156" s="38"/>
      <c r="G156" s="56"/>
      <c r="H156" s="46"/>
      <c r="I156" s="38"/>
      <c r="J156" s="38"/>
      <c r="K156" s="38"/>
    </row>
    <row r="157" spans="1:11" ht="12.75">
      <c r="A157" s="38"/>
      <c r="B157" s="38"/>
      <c r="C157" s="39"/>
      <c r="D157" s="38"/>
      <c r="E157" s="38"/>
      <c r="F157" s="38"/>
      <c r="G157" s="38"/>
      <c r="H157" s="39"/>
      <c r="I157" s="38"/>
      <c r="J157" s="38"/>
      <c r="K157" s="38"/>
    </row>
    <row r="158" spans="1:11" ht="12.75">
      <c r="A158" s="38"/>
      <c r="B158" s="38"/>
      <c r="C158" s="38"/>
      <c r="D158" s="38"/>
      <c r="E158" s="38"/>
      <c r="F158" s="38"/>
      <c r="G158" s="38"/>
      <c r="H158" s="39"/>
      <c r="I158" s="38"/>
      <c r="J158" s="38"/>
      <c r="K158" s="38"/>
    </row>
    <row r="159" spans="1:11" ht="12.75">
      <c r="A159" s="38"/>
      <c r="B159" s="38"/>
      <c r="C159" s="38"/>
      <c r="D159" s="38"/>
      <c r="E159" s="38"/>
      <c r="F159" s="38"/>
      <c r="G159" s="38"/>
      <c r="H159" s="39"/>
      <c r="I159" s="38"/>
      <c r="J159" s="38"/>
      <c r="K159" s="38"/>
    </row>
    <row r="160" spans="1:11" ht="12.75">
      <c r="A160" s="38"/>
      <c r="B160" s="38"/>
      <c r="C160" s="38"/>
      <c r="D160" s="38"/>
      <c r="E160" s="38"/>
      <c r="F160" s="38"/>
      <c r="G160" s="38"/>
      <c r="H160" s="39"/>
      <c r="I160" s="38"/>
      <c r="J160" s="38"/>
      <c r="K160" s="38"/>
    </row>
    <row r="161" spans="1:11" ht="12.75">
      <c r="A161" s="38"/>
      <c r="B161" s="38"/>
      <c r="C161" s="38"/>
      <c r="D161" s="39"/>
      <c r="E161" s="38"/>
      <c r="F161" s="38"/>
      <c r="G161" s="38"/>
      <c r="H161" s="39"/>
      <c r="I161" s="38"/>
      <c r="J161" s="38"/>
      <c r="K161" s="38"/>
    </row>
    <row r="162" spans="1:11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1:11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6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O165" s="38"/>
      <c r="P165" s="38"/>
    </row>
    <row r="166" spans="1:16" ht="12.75">
      <c r="A166" s="38"/>
      <c r="B166" s="6"/>
      <c r="C166" s="7"/>
      <c r="D166" s="38"/>
      <c r="E166" s="38"/>
      <c r="F166" s="38"/>
      <c r="G166" s="38"/>
      <c r="H166" s="38"/>
      <c r="I166" s="38"/>
      <c r="J166" s="38"/>
      <c r="K166" s="38"/>
      <c r="O166" s="38"/>
      <c r="P166" s="38"/>
    </row>
    <row r="167" spans="1:11" ht="12.75">
      <c r="A167" s="38"/>
      <c r="B167" s="38"/>
      <c r="C167" s="53"/>
      <c r="D167" s="40"/>
      <c r="E167" s="38"/>
      <c r="F167" s="38"/>
      <c r="G167" s="38"/>
      <c r="H167" s="38"/>
      <c r="I167" s="38"/>
      <c r="J167" s="38"/>
      <c r="K167" s="38"/>
    </row>
    <row r="168" spans="1:11" ht="12.75">
      <c r="A168" s="38"/>
      <c r="B168" s="38"/>
      <c r="C168" s="53"/>
      <c r="D168" s="40"/>
      <c r="E168" s="38"/>
      <c r="F168" s="38"/>
      <c r="G168" s="38"/>
      <c r="H168" s="38"/>
      <c r="I168" s="38"/>
      <c r="J168" s="38"/>
      <c r="K168" s="38"/>
    </row>
    <row r="169" spans="1:11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7" ht="12.75">
      <c r="A171" s="38"/>
      <c r="B171" s="38"/>
      <c r="C171" s="40"/>
      <c r="D171" s="38"/>
      <c r="E171" s="38"/>
      <c r="F171" s="38"/>
      <c r="G171" s="38"/>
    </row>
    <row r="172" spans="1:7" ht="12.75">
      <c r="A172" s="38"/>
      <c r="B172" s="38"/>
      <c r="C172" s="54"/>
      <c r="D172" s="38"/>
      <c r="E172" s="38"/>
      <c r="F172" s="38"/>
      <c r="G172" s="38"/>
    </row>
    <row r="173" spans="1:7" ht="12.75">
      <c r="A173" s="38"/>
      <c r="B173" s="38"/>
      <c r="C173" s="38"/>
      <c r="D173" s="38"/>
      <c r="E173" s="38"/>
      <c r="F173" s="38"/>
      <c r="G173" s="38"/>
    </row>
    <row r="174" spans="1:7" ht="12.75">
      <c r="A174" s="38"/>
      <c r="B174" s="38"/>
      <c r="C174" s="38"/>
      <c r="D174" s="38"/>
      <c r="E174" s="38"/>
      <c r="F174" s="38"/>
      <c r="G174" s="38"/>
    </row>
    <row r="175" spans="1:7" ht="12.75">
      <c r="A175" s="38"/>
      <c r="B175" s="38"/>
      <c r="C175" s="38"/>
      <c r="D175" s="38"/>
      <c r="E175" s="38"/>
      <c r="F175" s="38"/>
      <c r="G175" s="38"/>
    </row>
    <row r="176" spans="1:7" ht="12.75">
      <c r="A176" s="38"/>
      <c r="B176" s="38"/>
      <c r="C176" s="38"/>
      <c r="D176" s="38"/>
      <c r="E176" s="38"/>
      <c r="F176" s="38"/>
      <c r="G176" s="38"/>
    </row>
  </sheetData>
  <mergeCells count="1">
    <mergeCell ref="D6:E6"/>
  </mergeCells>
  <printOptions gridLines="1"/>
  <pageMargins left="0.75" right="0.75" top="1" bottom="1" header="0.5" footer="0.5"/>
  <pageSetup horizontalDpi="600" verticalDpi="600" orientation="portrait" paperSize="9" scale="66" r:id="rId1"/>
  <ignoredErrors>
    <ignoredError sqref="D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workbookViewId="0" topLeftCell="G55">
      <selection activeCell="T71" sqref="T71"/>
    </sheetView>
  </sheetViews>
  <sheetFormatPr defaultColWidth="9.140625" defaultRowHeight="12.75"/>
  <cols>
    <col min="1" max="1" width="12.28125" style="21" customWidth="1"/>
    <col min="2" max="2" width="48.421875" style="21" customWidth="1"/>
    <col min="3" max="3" width="12.28125" style="21" customWidth="1"/>
    <col min="4" max="4" width="12.421875" style="21" customWidth="1"/>
    <col min="5" max="5" width="12.28125" style="21" customWidth="1"/>
    <col min="6" max="6" width="11.421875" style="21" customWidth="1"/>
    <col min="7" max="7" width="12.00390625" style="21" customWidth="1"/>
    <col min="8" max="8" width="10.00390625" style="21" customWidth="1"/>
    <col min="9" max="9" width="11.00390625" style="21" customWidth="1"/>
    <col min="10" max="10" width="10.00390625" style="21" customWidth="1"/>
    <col min="11" max="11" width="11.00390625" style="21" customWidth="1"/>
    <col min="12" max="12" width="10.00390625" style="21" bestFit="1" customWidth="1"/>
    <col min="13" max="13" width="9.8515625" style="21" bestFit="1" customWidth="1"/>
    <col min="14" max="14" width="9.28125" style="21" bestFit="1" customWidth="1"/>
    <col min="15" max="15" width="8.57421875" style="21" customWidth="1"/>
    <col min="16" max="16" width="9.28125" style="21" bestFit="1" customWidth="1"/>
    <col min="17" max="17" width="9.140625" style="21" customWidth="1"/>
    <col min="18" max="18" width="11.28125" style="21" customWidth="1"/>
    <col min="19" max="21" width="9.140625" style="21" customWidth="1"/>
    <col min="22" max="22" width="11.421875" style="21" customWidth="1"/>
    <col min="23" max="23" width="12.00390625" style="21" customWidth="1"/>
    <col min="24" max="32" width="11.28125" style="21" bestFit="1" customWidth="1"/>
    <col min="33" max="33" width="9.28125" style="21" bestFit="1" customWidth="1"/>
    <col min="34" max="34" width="9.140625" style="21" customWidth="1"/>
    <col min="35" max="35" width="9.28125" style="21" bestFit="1" customWidth="1"/>
    <col min="36" max="16384" width="9.140625" style="21" customWidth="1"/>
  </cols>
  <sheetData>
    <row r="1" spans="4:9" ht="12.75">
      <c r="D1" s="31"/>
      <c r="E1" s="31"/>
      <c r="F1" s="31"/>
      <c r="G1" s="31"/>
      <c r="H1" s="31"/>
      <c r="I1" s="31"/>
    </row>
    <row r="2" spans="2:9" ht="12.75">
      <c r="B2" s="7" t="str">
        <f>+'50%S.value (10 Years)'!B3</f>
        <v>PGL SOMESWARA - 24.75 MW</v>
      </c>
      <c r="D2" s="31"/>
      <c r="E2" s="31"/>
      <c r="F2" s="31"/>
      <c r="G2" s="31"/>
      <c r="H2" s="31"/>
      <c r="I2" s="31"/>
    </row>
    <row r="3" spans="2:9" ht="12.75">
      <c r="B3" s="38"/>
      <c r="C3" s="38"/>
      <c r="D3" s="47"/>
      <c r="E3" s="47"/>
      <c r="F3" s="47"/>
      <c r="G3" s="31"/>
      <c r="H3" s="31"/>
      <c r="I3" s="31"/>
    </row>
    <row r="4" spans="1:9" ht="12.75">
      <c r="A4" s="2"/>
      <c r="B4" s="7"/>
      <c r="C4" s="7"/>
      <c r="D4" s="146"/>
      <c r="E4" s="146"/>
      <c r="F4" s="47"/>
      <c r="G4" s="31"/>
      <c r="H4" s="31"/>
      <c r="I4" s="31"/>
    </row>
    <row r="5" spans="1:9" ht="12.75">
      <c r="A5" s="2"/>
      <c r="B5" s="1" t="str">
        <f>+'50%S.value (10 Years)'!B6</f>
        <v>Assumptions Supporting Financial Workings</v>
      </c>
      <c r="C5" s="38"/>
      <c r="D5" s="47"/>
      <c r="E5" s="47"/>
      <c r="F5" s="47"/>
      <c r="G5" s="31"/>
      <c r="H5" s="31"/>
      <c r="I5" s="31"/>
    </row>
    <row r="6" spans="1:9" ht="12.75">
      <c r="A6" s="2"/>
      <c r="B6" s="1"/>
      <c r="C6" s="38"/>
      <c r="D6" s="47"/>
      <c r="E6" s="47"/>
      <c r="F6" s="47"/>
      <c r="G6" s="31"/>
      <c r="H6" s="31"/>
      <c r="I6" s="31"/>
    </row>
    <row r="7" spans="1:9" ht="15">
      <c r="A7" s="2"/>
      <c r="B7" s="98" t="s">
        <v>46</v>
      </c>
      <c r="C7" s="116">
        <v>24.75</v>
      </c>
      <c r="D7" s="81"/>
      <c r="E7" s="82"/>
      <c r="F7" s="82"/>
      <c r="G7" s="82"/>
      <c r="H7" s="31"/>
      <c r="I7" s="31"/>
    </row>
    <row r="8" spans="1:9" ht="15">
      <c r="A8" s="2"/>
      <c r="B8" s="97" t="s">
        <v>87</v>
      </c>
      <c r="C8" s="117">
        <f>84</f>
        <v>84</v>
      </c>
      <c r="D8" s="81"/>
      <c r="E8" s="83"/>
      <c r="F8" s="82"/>
      <c r="G8" s="82"/>
      <c r="H8" s="31"/>
      <c r="I8" s="31"/>
    </row>
    <row r="9" spans="1:9" ht="15">
      <c r="A9" s="2"/>
      <c r="B9" s="97" t="s">
        <v>72</v>
      </c>
      <c r="C9" s="112">
        <v>0.03</v>
      </c>
      <c r="D9" s="81"/>
      <c r="E9" s="83"/>
      <c r="F9" s="82"/>
      <c r="G9" s="82"/>
      <c r="H9" s="31"/>
      <c r="I9" s="31"/>
    </row>
    <row r="10" spans="1:9" ht="15">
      <c r="A10" s="2"/>
      <c r="B10" s="97" t="s">
        <v>88</v>
      </c>
      <c r="C10" s="117">
        <f>+C8-(C8*$C$9)</f>
        <v>81.48</v>
      </c>
      <c r="D10" s="81"/>
      <c r="E10" s="82"/>
      <c r="F10" s="82"/>
      <c r="G10" s="82"/>
      <c r="H10" s="31"/>
      <c r="I10" s="31"/>
    </row>
    <row r="11" spans="1:9" ht="15">
      <c r="A11" s="2"/>
      <c r="B11" s="5" t="s">
        <v>64</v>
      </c>
      <c r="C11" s="101">
        <v>2.9</v>
      </c>
      <c r="D11" s="81"/>
      <c r="E11" s="81"/>
      <c r="F11" s="81"/>
      <c r="G11" s="81"/>
      <c r="H11" s="31"/>
      <c r="I11" s="31"/>
    </row>
    <row r="12" spans="1:9" ht="15">
      <c r="A12" s="2"/>
      <c r="B12" s="5" t="s">
        <v>65</v>
      </c>
      <c r="C12" s="118">
        <v>0.02</v>
      </c>
      <c r="D12" s="81"/>
      <c r="E12" s="81"/>
      <c r="F12" s="81"/>
      <c r="G12" s="81"/>
      <c r="H12" s="31"/>
      <c r="I12" s="31"/>
    </row>
    <row r="13" spans="1:9" ht="15">
      <c r="A13" s="2"/>
      <c r="B13" s="5" t="s">
        <v>104</v>
      </c>
      <c r="C13" s="119"/>
      <c r="D13" s="81"/>
      <c r="E13" s="81"/>
      <c r="F13" s="81"/>
      <c r="G13" s="81"/>
      <c r="H13" s="31"/>
      <c r="I13" s="31"/>
    </row>
    <row r="14" spans="1:9" ht="15">
      <c r="A14" s="2"/>
      <c r="B14" s="5" t="s">
        <v>105</v>
      </c>
      <c r="C14" s="105">
        <f>+N81</f>
        <v>134.40181952649814</v>
      </c>
      <c r="D14" s="81"/>
      <c r="E14" s="81"/>
      <c r="F14" s="81"/>
      <c r="G14" s="81"/>
      <c r="H14" s="31"/>
      <c r="I14" s="31"/>
    </row>
    <row r="15" spans="1:9" ht="15">
      <c r="A15" s="2"/>
      <c r="B15" s="5" t="s">
        <v>106</v>
      </c>
      <c r="C15" s="105">
        <f>+C46*16%</f>
        <v>51.2</v>
      </c>
      <c r="D15" s="81"/>
      <c r="E15" s="81"/>
      <c r="F15" s="81"/>
      <c r="G15" s="81"/>
      <c r="H15" s="31"/>
      <c r="I15" s="31"/>
    </row>
    <row r="16" spans="1:9" ht="15">
      <c r="A16" s="2"/>
      <c r="B16" s="80" t="s">
        <v>107</v>
      </c>
      <c r="C16" s="106">
        <f>+C15+C14</f>
        <v>185.60181952649816</v>
      </c>
      <c r="D16" s="81"/>
      <c r="E16" s="81"/>
      <c r="F16" s="81"/>
      <c r="G16" s="81"/>
      <c r="H16" s="31"/>
      <c r="I16" s="31"/>
    </row>
    <row r="17" spans="1:9" ht="15">
      <c r="A17" s="2"/>
      <c r="B17" s="80" t="s">
        <v>108</v>
      </c>
      <c r="C17" s="104">
        <f>+C16/C8</f>
        <v>2.2095454705535493</v>
      </c>
      <c r="D17" s="81"/>
      <c r="E17" s="81"/>
      <c r="F17" s="81"/>
      <c r="G17" s="81"/>
      <c r="H17" s="31"/>
      <c r="I17" s="31"/>
    </row>
    <row r="18" spans="1:9" ht="15">
      <c r="A18" s="2"/>
      <c r="B18" s="80"/>
      <c r="C18" s="92"/>
      <c r="D18" s="81"/>
      <c r="E18" s="81"/>
      <c r="F18" s="81"/>
      <c r="G18" s="81"/>
      <c r="H18" s="31"/>
      <c r="I18" s="31"/>
    </row>
    <row r="19" spans="1:9" ht="15">
      <c r="A19" s="2"/>
      <c r="B19" s="80"/>
      <c r="C19" s="104"/>
      <c r="D19" s="81"/>
      <c r="E19" s="81"/>
      <c r="F19" s="81"/>
      <c r="G19" s="81"/>
      <c r="H19" s="31"/>
      <c r="I19" s="31"/>
    </row>
    <row r="20" spans="1:9" ht="15">
      <c r="A20" s="2"/>
      <c r="B20" s="97" t="s">
        <v>69</v>
      </c>
      <c r="C20" s="112">
        <v>0.04</v>
      </c>
      <c r="D20" s="81"/>
      <c r="E20" s="81"/>
      <c r="F20" s="81"/>
      <c r="G20" s="81"/>
      <c r="H20" s="31"/>
      <c r="I20" s="31"/>
    </row>
    <row r="21" spans="1:9" ht="15">
      <c r="A21" s="2"/>
      <c r="B21" s="80" t="s">
        <v>63</v>
      </c>
      <c r="C21" s="113">
        <v>0.1</v>
      </c>
      <c r="D21" s="81"/>
      <c r="E21" s="81"/>
      <c r="F21" s="81"/>
      <c r="G21" s="81"/>
      <c r="H21" s="31"/>
      <c r="I21" s="31"/>
    </row>
    <row r="22" spans="1:9" ht="15">
      <c r="A22" s="2"/>
      <c r="B22" s="97" t="s">
        <v>47</v>
      </c>
      <c r="C22" s="112">
        <v>0.115</v>
      </c>
      <c r="D22" s="81"/>
      <c r="E22" s="81"/>
      <c r="F22" s="81"/>
      <c r="G22" s="81"/>
      <c r="H22" s="31"/>
      <c r="I22" s="31"/>
    </row>
    <row r="23" spans="1:9" ht="15">
      <c r="A23" s="2"/>
      <c r="B23" s="97" t="s">
        <v>48</v>
      </c>
      <c r="C23" s="114">
        <v>10</v>
      </c>
      <c r="D23" s="81"/>
      <c r="E23" s="81"/>
      <c r="F23" s="81"/>
      <c r="G23" s="81"/>
      <c r="H23" s="31"/>
      <c r="I23" s="31"/>
    </row>
    <row r="24" spans="1:9" ht="15">
      <c r="A24" s="2"/>
      <c r="B24" s="97" t="s">
        <v>66</v>
      </c>
      <c r="C24" s="111">
        <v>0.034</v>
      </c>
      <c r="D24" s="81"/>
      <c r="E24" s="81"/>
      <c r="F24" s="81"/>
      <c r="G24" s="81"/>
      <c r="H24" s="31"/>
      <c r="I24" s="31"/>
    </row>
    <row r="25" spans="1:9" ht="15">
      <c r="A25" s="2"/>
      <c r="B25" s="97" t="s">
        <v>49</v>
      </c>
      <c r="C25" s="111">
        <v>0.1122</v>
      </c>
      <c r="D25" s="81"/>
      <c r="E25" s="81"/>
      <c r="F25" s="81"/>
      <c r="G25" s="81"/>
      <c r="H25" s="31"/>
      <c r="I25" s="31"/>
    </row>
    <row r="26" spans="1:9" ht="15">
      <c r="A26" s="2"/>
      <c r="B26" s="97" t="s">
        <v>103</v>
      </c>
      <c r="C26" s="111">
        <v>0.3366</v>
      </c>
      <c r="D26" s="81"/>
      <c r="E26" s="81"/>
      <c r="F26" s="81"/>
      <c r="G26" s="81"/>
      <c r="H26" s="31"/>
      <c r="I26" s="31"/>
    </row>
    <row r="27" spans="1:7" ht="15">
      <c r="A27" s="2"/>
      <c r="B27" s="97" t="s">
        <v>28</v>
      </c>
      <c r="C27" s="115">
        <v>860.87</v>
      </c>
      <c r="D27" s="81"/>
      <c r="E27" s="30"/>
      <c r="F27" s="30"/>
      <c r="G27" s="30"/>
    </row>
    <row r="28" spans="1:7" ht="15">
      <c r="A28" s="2"/>
      <c r="B28" s="97" t="s">
        <v>50</v>
      </c>
      <c r="C28" s="114">
        <v>8</v>
      </c>
      <c r="D28" s="81"/>
      <c r="E28" s="30"/>
      <c r="F28" s="30"/>
      <c r="G28" s="30"/>
    </row>
    <row r="29" spans="1:7" ht="15">
      <c r="A29" s="2"/>
      <c r="B29" s="97" t="s">
        <v>51</v>
      </c>
      <c r="C29" s="114">
        <v>56</v>
      </c>
      <c r="D29" s="81"/>
      <c r="E29" s="30"/>
      <c r="F29" s="30"/>
      <c r="G29" s="30"/>
    </row>
    <row r="30" spans="1:7" ht="15">
      <c r="A30" s="2"/>
      <c r="B30" s="97" t="s">
        <v>58</v>
      </c>
      <c r="C30" s="114"/>
      <c r="D30" s="30"/>
      <c r="E30" s="30"/>
      <c r="F30" s="30"/>
      <c r="G30" s="30"/>
    </row>
    <row r="31" spans="1:7" ht="15">
      <c r="A31" s="2"/>
      <c r="B31" s="97" t="s">
        <v>59</v>
      </c>
      <c r="C31" s="114">
        <v>10</v>
      </c>
      <c r="D31" s="30"/>
      <c r="E31" s="30"/>
      <c r="F31" s="30"/>
      <c r="G31" s="30"/>
    </row>
    <row r="32" spans="1:7" ht="15">
      <c r="A32" s="2"/>
      <c r="B32" s="97" t="s">
        <v>52</v>
      </c>
      <c r="C32" s="99">
        <f>(75+(12.5*24.75))/10</f>
        <v>38.4375</v>
      </c>
      <c r="D32" s="30"/>
      <c r="E32" s="30"/>
      <c r="F32" s="30"/>
      <c r="G32" s="30"/>
    </row>
    <row r="33" spans="1:7" ht="15">
      <c r="A33" s="2"/>
      <c r="B33" s="97" t="s">
        <v>67</v>
      </c>
      <c r="C33" s="32"/>
      <c r="D33" s="30"/>
      <c r="E33" s="30"/>
      <c r="F33" s="30"/>
      <c r="G33" s="30"/>
    </row>
    <row r="34" spans="1:7" ht="15">
      <c r="A34" s="2"/>
      <c r="B34" s="97"/>
      <c r="C34" s="34"/>
      <c r="D34" s="30"/>
      <c r="E34" s="30"/>
      <c r="F34" s="30"/>
      <c r="G34" s="30"/>
    </row>
    <row r="35" spans="1:7" ht="15">
      <c r="A35" s="2"/>
      <c r="B35" s="97" t="s">
        <v>53</v>
      </c>
      <c r="C35" s="94" t="s">
        <v>89</v>
      </c>
      <c r="D35" s="30"/>
      <c r="E35" s="30"/>
      <c r="F35" s="30"/>
      <c r="G35" s="30"/>
    </row>
    <row r="36" spans="1:5" ht="12.75">
      <c r="A36" s="2"/>
      <c r="B36" s="97" t="s">
        <v>74</v>
      </c>
      <c r="C36" s="99">
        <v>25</v>
      </c>
      <c r="D36" s="15"/>
      <c r="E36" s="2"/>
    </row>
    <row r="37" spans="1:5" ht="12.75">
      <c r="A37" s="2"/>
      <c r="B37" s="97" t="s">
        <v>75</v>
      </c>
      <c r="C37" s="99">
        <v>402</v>
      </c>
      <c r="D37" s="15"/>
      <c r="E37" s="2"/>
    </row>
    <row r="38" spans="1:5" ht="12.75">
      <c r="A38" s="2"/>
      <c r="B38" s="97" t="s">
        <v>76</v>
      </c>
      <c r="C38" s="99">
        <v>458</v>
      </c>
      <c r="D38" s="15"/>
      <c r="E38" s="2"/>
    </row>
    <row r="39" spans="1:5" ht="12.75">
      <c r="A39" s="2"/>
      <c r="B39" s="97" t="s">
        <v>68</v>
      </c>
      <c r="C39" s="99">
        <v>15</v>
      </c>
      <c r="D39" s="15"/>
      <c r="E39" s="2"/>
    </row>
    <row r="40" spans="1:5" ht="12.75">
      <c r="A40" s="2"/>
      <c r="B40" s="97" t="s">
        <v>77</v>
      </c>
      <c r="C40" s="99">
        <v>0</v>
      </c>
      <c r="D40" s="15"/>
      <c r="E40" s="2"/>
    </row>
    <row r="41" spans="1:5" ht="12.75">
      <c r="A41" s="2"/>
      <c r="B41" s="97" t="s">
        <v>78</v>
      </c>
      <c r="C41" s="99">
        <v>12</v>
      </c>
      <c r="D41" s="15"/>
      <c r="E41" s="2"/>
    </row>
    <row r="42" spans="1:5" ht="12.75">
      <c r="A42" s="2"/>
      <c r="B42" s="97" t="s">
        <v>79</v>
      </c>
      <c r="C42" s="99">
        <v>26</v>
      </c>
      <c r="D42" s="15"/>
      <c r="E42" s="2"/>
    </row>
    <row r="43" spans="1:5" ht="12.75">
      <c r="A43" s="2"/>
      <c r="B43" s="97" t="s">
        <v>80</v>
      </c>
      <c r="C43" s="99">
        <v>21</v>
      </c>
      <c r="D43" s="15"/>
      <c r="E43" s="2"/>
    </row>
    <row r="44" spans="1:5" ht="15">
      <c r="A44" s="2"/>
      <c r="B44" s="14" t="s">
        <v>55</v>
      </c>
      <c r="C44" s="100">
        <f>+SUM(C36:C43)</f>
        <v>959</v>
      </c>
      <c r="D44" s="30"/>
      <c r="E44" s="3"/>
    </row>
    <row r="45" spans="1:3" ht="12.75">
      <c r="A45" s="2"/>
      <c r="B45" s="97" t="s">
        <v>56</v>
      </c>
      <c r="C45" s="101"/>
    </row>
    <row r="46" spans="1:6" ht="12.75">
      <c r="A46" s="2"/>
      <c r="B46" s="97" t="s">
        <v>57</v>
      </c>
      <c r="C46" s="102">
        <v>320</v>
      </c>
      <c r="D46" s="24"/>
      <c r="E46" s="36"/>
      <c r="F46" s="20"/>
    </row>
    <row r="47" spans="1:6" ht="12.75">
      <c r="A47" s="2"/>
      <c r="B47" s="97" t="s">
        <v>71</v>
      </c>
      <c r="C47" s="102">
        <f>+C44-C46</f>
        <v>639</v>
      </c>
      <c r="D47" s="24"/>
      <c r="E47" s="36"/>
      <c r="F47" s="36"/>
    </row>
    <row r="48" spans="1:6" ht="12.75">
      <c r="A48" s="2"/>
      <c r="B48" s="97" t="s">
        <v>55</v>
      </c>
      <c r="C48" s="100">
        <f>+SUM(C46:C47)</f>
        <v>959</v>
      </c>
      <c r="E48" s="3"/>
      <c r="F48" s="36"/>
    </row>
    <row r="49" spans="1:6" ht="12.75">
      <c r="A49" s="2"/>
      <c r="B49" s="97"/>
      <c r="C49" s="100"/>
      <c r="E49" s="3"/>
      <c r="F49" s="36"/>
    </row>
    <row r="50" spans="1:6" ht="12.75">
      <c r="A50" s="2"/>
      <c r="B50" s="97" t="s">
        <v>83</v>
      </c>
      <c r="C50" s="103">
        <f>37/3*4</f>
        <v>49.333333333333336</v>
      </c>
      <c r="E50" s="3"/>
      <c r="F50" s="36"/>
    </row>
    <row r="51" spans="1:6" ht="12.75">
      <c r="A51" s="2"/>
      <c r="B51" s="97" t="s">
        <v>84</v>
      </c>
      <c r="C51" s="103">
        <f>+C50*25%</f>
        <v>12.333333333333334</v>
      </c>
      <c r="E51" s="3"/>
      <c r="F51" s="36"/>
    </row>
    <row r="52" spans="1:6" ht="12.75">
      <c r="A52" s="2"/>
      <c r="B52" s="97" t="s">
        <v>85</v>
      </c>
      <c r="C52" s="103">
        <f>+C50-C51</f>
        <v>37</v>
      </c>
      <c r="E52" s="3"/>
      <c r="F52" s="36"/>
    </row>
    <row r="53" spans="1:6" ht="12.75">
      <c r="A53" s="2"/>
      <c r="B53" s="97" t="s">
        <v>86</v>
      </c>
      <c r="C53" s="111">
        <v>0.12</v>
      </c>
      <c r="E53" s="3"/>
      <c r="F53" s="36"/>
    </row>
    <row r="54" spans="1:6" ht="14.25">
      <c r="A54" s="2"/>
      <c r="B54" s="96"/>
      <c r="C54" s="94"/>
      <c r="E54" s="3"/>
      <c r="F54" s="36"/>
    </row>
    <row r="55" spans="1:6" ht="14.25">
      <c r="A55" s="2"/>
      <c r="B55" s="96"/>
      <c r="C55" s="95"/>
      <c r="E55" s="3"/>
      <c r="F55" s="36"/>
    </row>
    <row r="56" spans="1:3" ht="12.75">
      <c r="A56" s="31"/>
      <c r="B56" s="97"/>
      <c r="C56" s="37"/>
    </row>
    <row r="57" spans="2:12" ht="12.75">
      <c r="B57" s="97" t="s">
        <v>60</v>
      </c>
      <c r="K57" s="38"/>
      <c r="L57" s="1" t="str">
        <f>+W66</f>
        <v>(Rs.Million)</v>
      </c>
    </row>
    <row r="58" spans="2:12" ht="12.75">
      <c r="B58" s="110" t="s">
        <v>29</v>
      </c>
      <c r="C58" s="12" t="s">
        <v>35</v>
      </c>
      <c r="D58" s="12" t="s">
        <v>36</v>
      </c>
      <c r="E58" s="12" t="s">
        <v>37</v>
      </c>
      <c r="F58" s="12" t="s">
        <v>38</v>
      </c>
      <c r="G58" s="12" t="s">
        <v>39</v>
      </c>
      <c r="H58" s="12" t="s">
        <v>40</v>
      </c>
      <c r="I58" s="12" t="s">
        <v>41</v>
      </c>
      <c r="J58" s="12" t="s">
        <v>42</v>
      </c>
      <c r="K58" s="12" t="s">
        <v>70</v>
      </c>
      <c r="L58" s="12" t="s">
        <v>81</v>
      </c>
    </row>
    <row r="59" spans="2:12" ht="12.75">
      <c r="B59" s="97" t="s">
        <v>30</v>
      </c>
      <c r="C59" s="36">
        <f>+C47-C32</f>
        <v>600.5625</v>
      </c>
      <c r="D59" s="36">
        <f aca="true" t="shared" si="0" ref="D59:L59">+C61</f>
        <v>540.50625</v>
      </c>
      <c r="E59" s="36">
        <f t="shared" si="0"/>
        <v>480.45000000000005</v>
      </c>
      <c r="F59" s="36">
        <f t="shared" si="0"/>
        <v>420.39375000000007</v>
      </c>
      <c r="G59" s="36">
        <f t="shared" si="0"/>
        <v>360.3375000000001</v>
      </c>
      <c r="H59" s="36">
        <f t="shared" si="0"/>
        <v>300.2812500000001</v>
      </c>
      <c r="I59" s="36">
        <f t="shared" si="0"/>
        <v>240.2250000000001</v>
      </c>
      <c r="J59" s="36">
        <f t="shared" si="0"/>
        <v>180.1687500000001</v>
      </c>
      <c r="K59" s="36">
        <f t="shared" si="0"/>
        <v>120.1125000000001</v>
      </c>
      <c r="L59" s="36">
        <f t="shared" si="0"/>
        <v>60.05625000000009</v>
      </c>
    </row>
    <row r="60" spans="2:12" ht="12.75">
      <c r="B60" s="97" t="s">
        <v>31</v>
      </c>
      <c r="C60" s="36">
        <f>+C59/C23</f>
        <v>60.05625</v>
      </c>
      <c r="D60" s="36">
        <f>+D59/9</f>
        <v>60.056250000000006</v>
      </c>
      <c r="E60" s="36">
        <f aca="true" t="shared" si="1" ref="E60:L60">+D60</f>
        <v>60.056250000000006</v>
      </c>
      <c r="F60" s="36">
        <f t="shared" si="1"/>
        <v>60.056250000000006</v>
      </c>
      <c r="G60" s="36">
        <f t="shared" si="1"/>
        <v>60.056250000000006</v>
      </c>
      <c r="H60" s="36">
        <f t="shared" si="1"/>
        <v>60.056250000000006</v>
      </c>
      <c r="I60" s="36">
        <f t="shared" si="1"/>
        <v>60.056250000000006</v>
      </c>
      <c r="J60" s="36">
        <f t="shared" si="1"/>
        <v>60.056250000000006</v>
      </c>
      <c r="K60" s="36">
        <f t="shared" si="1"/>
        <v>60.056250000000006</v>
      </c>
      <c r="L60" s="36">
        <f t="shared" si="1"/>
        <v>60.056250000000006</v>
      </c>
    </row>
    <row r="61" spans="2:12" ht="12.75">
      <c r="B61" s="97" t="s">
        <v>32</v>
      </c>
      <c r="C61" s="36">
        <f aca="true" t="shared" si="2" ref="C61:L61">+C59-C60</f>
        <v>540.50625</v>
      </c>
      <c r="D61" s="36">
        <f t="shared" si="2"/>
        <v>480.45000000000005</v>
      </c>
      <c r="E61" s="36">
        <f t="shared" si="2"/>
        <v>420.39375000000007</v>
      </c>
      <c r="F61" s="36">
        <f t="shared" si="2"/>
        <v>360.3375000000001</v>
      </c>
      <c r="G61" s="36">
        <f t="shared" si="2"/>
        <v>300.2812500000001</v>
      </c>
      <c r="H61" s="36">
        <f t="shared" si="2"/>
        <v>240.2250000000001</v>
      </c>
      <c r="I61" s="36">
        <f t="shared" si="2"/>
        <v>180.1687500000001</v>
      </c>
      <c r="J61" s="36">
        <f t="shared" si="2"/>
        <v>120.1125000000001</v>
      </c>
      <c r="K61" s="36">
        <f t="shared" si="2"/>
        <v>60.05625000000009</v>
      </c>
      <c r="L61" s="36">
        <f t="shared" si="2"/>
        <v>8.526512829121202E-14</v>
      </c>
    </row>
    <row r="62" spans="2:21" ht="12.75">
      <c r="B62" s="97" t="s">
        <v>33</v>
      </c>
      <c r="C62" s="36">
        <f aca="true" t="shared" si="3" ref="C62:L62">+AVERAGE(C61,C59)</f>
        <v>570.534375</v>
      </c>
      <c r="D62" s="36">
        <f t="shared" si="3"/>
        <v>510.47812500000003</v>
      </c>
      <c r="E62" s="36">
        <f t="shared" si="3"/>
        <v>450.42187500000006</v>
      </c>
      <c r="F62" s="36">
        <f t="shared" si="3"/>
        <v>390.3656250000001</v>
      </c>
      <c r="G62" s="36">
        <f t="shared" si="3"/>
        <v>330.3093750000001</v>
      </c>
      <c r="H62" s="36">
        <f t="shared" si="3"/>
        <v>270.2531250000001</v>
      </c>
      <c r="I62" s="36">
        <f t="shared" si="3"/>
        <v>210.1968750000001</v>
      </c>
      <c r="J62" s="36">
        <f t="shared" si="3"/>
        <v>150.1406250000001</v>
      </c>
      <c r="K62" s="36">
        <f t="shared" si="3"/>
        <v>90.0843750000001</v>
      </c>
      <c r="L62" s="36">
        <f t="shared" si="3"/>
        <v>30.028125000000088</v>
      </c>
      <c r="R62" s="38"/>
      <c r="S62" s="38"/>
      <c r="T62" s="39"/>
      <c r="U62" s="39"/>
    </row>
    <row r="63" spans="2:21" ht="12.75">
      <c r="B63" s="97" t="s">
        <v>34</v>
      </c>
      <c r="C63" s="36">
        <f aca="true" t="shared" si="4" ref="C63:L63">+C62*$C$22</f>
        <v>65.611453125</v>
      </c>
      <c r="D63" s="36">
        <f t="shared" si="4"/>
        <v>58.70498437500001</v>
      </c>
      <c r="E63" s="36">
        <f t="shared" si="4"/>
        <v>51.79851562500001</v>
      </c>
      <c r="F63" s="36">
        <f t="shared" si="4"/>
        <v>44.89204687500001</v>
      </c>
      <c r="G63" s="36">
        <f t="shared" si="4"/>
        <v>37.98557812500001</v>
      </c>
      <c r="H63" s="36">
        <f t="shared" si="4"/>
        <v>31.079109375000016</v>
      </c>
      <c r="I63" s="36">
        <f t="shared" si="4"/>
        <v>24.17264062500001</v>
      </c>
      <c r="J63" s="36">
        <f t="shared" si="4"/>
        <v>17.266171875000015</v>
      </c>
      <c r="K63" s="36">
        <f t="shared" si="4"/>
        <v>10.359703125000012</v>
      </c>
      <c r="L63" s="36">
        <f t="shared" si="4"/>
        <v>3.4532343750000103</v>
      </c>
      <c r="Q63" s="40"/>
      <c r="R63" s="40"/>
      <c r="S63" s="40"/>
      <c r="T63" s="40"/>
      <c r="U63" s="40"/>
    </row>
    <row r="65" ht="12.75">
      <c r="B65" s="7"/>
    </row>
    <row r="66" spans="2:23" ht="12.75">
      <c r="B66" s="7" t="s">
        <v>73</v>
      </c>
      <c r="L66" s="38"/>
      <c r="M66" s="1"/>
      <c r="N66" s="1"/>
      <c r="O66" s="1"/>
      <c r="P66" s="1"/>
      <c r="Q66" s="1"/>
      <c r="R66" s="1"/>
      <c r="S66" s="1"/>
      <c r="T66" s="1"/>
      <c r="U66" s="1"/>
      <c r="V66" s="1"/>
      <c r="W66" s="1" t="s">
        <v>54</v>
      </c>
    </row>
    <row r="67" spans="2:23" ht="12.75">
      <c r="B67" s="11" t="s">
        <v>2</v>
      </c>
      <c r="C67" s="11"/>
      <c r="D67" s="12">
        <v>1</v>
      </c>
      <c r="E67" s="12">
        <f>+D67+1</f>
        <v>2</v>
      </c>
      <c r="F67" s="12">
        <f aca="true" t="shared" si="5" ref="F67:W67">+E67+1</f>
        <v>3</v>
      </c>
      <c r="G67" s="12">
        <f t="shared" si="5"/>
        <v>4</v>
      </c>
      <c r="H67" s="12">
        <f t="shared" si="5"/>
        <v>5</v>
      </c>
      <c r="I67" s="12">
        <f t="shared" si="5"/>
        <v>6</v>
      </c>
      <c r="J67" s="12">
        <f t="shared" si="5"/>
        <v>7</v>
      </c>
      <c r="K67" s="12">
        <f t="shared" si="5"/>
        <v>8</v>
      </c>
      <c r="L67" s="12">
        <f t="shared" si="5"/>
        <v>9</v>
      </c>
      <c r="M67" s="12">
        <f t="shared" si="5"/>
        <v>10</v>
      </c>
      <c r="N67" s="12">
        <f t="shared" si="5"/>
        <v>11</v>
      </c>
      <c r="O67" s="12">
        <f t="shared" si="5"/>
        <v>12</v>
      </c>
      <c r="P67" s="12">
        <f t="shared" si="5"/>
        <v>13</v>
      </c>
      <c r="Q67" s="12">
        <f t="shared" si="5"/>
        <v>14</v>
      </c>
      <c r="R67" s="12">
        <f t="shared" si="5"/>
        <v>15</v>
      </c>
      <c r="S67" s="12">
        <f t="shared" si="5"/>
        <v>16</v>
      </c>
      <c r="T67" s="12">
        <f t="shared" si="5"/>
        <v>17</v>
      </c>
      <c r="U67" s="12">
        <f t="shared" si="5"/>
        <v>18</v>
      </c>
      <c r="V67" s="12">
        <f t="shared" si="5"/>
        <v>19</v>
      </c>
      <c r="W67" s="12">
        <f t="shared" si="5"/>
        <v>20</v>
      </c>
    </row>
    <row r="68" spans="2:23" ht="12.75">
      <c r="B68" s="5" t="s">
        <v>61</v>
      </c>
      <c r="C68" s="1"/>
      <c r="D68" s="10">
        <f>+C8</f>
        <v>84</v>
      </c>
      <c r="E68" s="10">
        <f aca="true" t="shared" si="6" ref="E68:M68">+D68</f>
        <v>84</v>
      </c>
      <c r="F68" s="10">
        <f t="shared" si="6"/>
        <v>84</v>
      </c>
      <c r="G68" s="10">
        <f t="shared" si="6"/>
        <v>84</v>
      </c>
      <c r="H68" s="10">
        <f t="shared" si="6"/>
        <v>84</v>
      </c>
      <c r="I68" s="10">
        <f t="shared" si="6"/>
        <v>84</v>
      </c>
      <c r="J68" s="10">
        <f t="shared" si="6"/>
        <v>84</v>
      </c>
      <c r="K68" s="10">
        <f t="shared" si="6"/>
        <v>84</v>
      </c>
      <c r="L68" s="10">
        <f t="shared" si="6"/>
        <v>84</v>
      </c>
      <c r="M68" s="10">
        <f t="shared" si="6"/>
        <v>84</v>
      </c>
      <c r="N68" s="10">
        <f aca="true" t="shared" si="7" ref="N68:W68">+M68</f>
        <v>84</v>
      </c>
      <c r="O68" s="10">
        <f t="shared" si="7"/>
        <v>84</v>
      </c>
      <c r="P68" s="10">
        <f t="shared" si="7"/>
        <v>84</v>
      </c>
      <c r="Q68" s="10">
        <f t="shared" si="7"/>
        <v>84</v>
      </c>
      <c r="R68" s="10">
        <f t="shared" si="7"/>
        <v>84</v>
      </c>
      <c r="S68" s="10">
        <f t="shared" si="7"/>
        <v>84</v>
      </c>
      <c r="T68" s="10">
        <f t="shared" si="7"/>
        <v>84</v>
      </c>
      <c r="U68" s="10">
        <f t="shared" si="7"/>
        <v>84</v>
      </c>
      <c r="V68" s="10">
        <f t="shared" si="7"/>
        <v>84</v>
      </c>
      <c r="W68" s="10">
        <f t="shared" si="7"/>
        <v>84</v>
      </c>
    </row>
    <row r="69" spans="2:23" ht="12.75">
      <c r="B69" s="5" t="s">
        <v>72</v>
      </c>
      <c r="C69" s="1"/>
      <c r="D69" s="10">
        <f>+D68*$C$9</f>
        <v>2.52</v>
      </c>
      <c r="E69" s="10">
        <f aca="true" t="shared" si="8" ref="E69:M69">+D69</f>
        <v>2.52</v>
      </c>
      <c r="F69" s="10">
        <f t="shared" si="8"/>
        <v>2.52</v>
      </c>
      <c r="G69" s="10">
        <f t="shared" si="8"/>
        <v>2.52</v>
      </c>
      <c r="H69" s="10">
        <f t="shared" si="8"/>
        <v>2.52</v>
      </c>
      <c r="I69" s="10">
        <f t="shared" si="8"/>
        <v>2.52</v>
      </c>
      <c r="J69" s="10">
        <f t="shared" si="8"/>
        <v>2.52</v>
      </c>
      <c r="K69" s="10">
        <f t="shared" si="8"/>
        <v>2.52</v>
      </c>
      <c r="L69" s="10">
        <f t="shared" si="8"/>
        <v>2.52</v>
      </c>
      <c r="M69" s="10">
        <f t="shared" si="8"/>
        <v>2.52</v>
      </c>
      <c r="N69" s="10">
        <f aca="true" t="shared" si="9" ref="N69:W69">+M69</f>
        <v>2.52</v>
      </c>
      <c r="O69" s="10">
        <f t="shared" si="9"/>
        <v>2.52</v>
      </c>
      <c r="P69" s="10">
        <f t="shared" si="9"/>
        <v>2.52</v>
      </c>
      <c r="Q69" s="10">
        <f t="shared" si="9"/>
        <v>2.52</v>
      </c>
      <c r="R69" s="10">
        <f t="shared" si="9"/>
        <v>2.52</v>
      </c>
      <c r="S69" s="10">
        <f t="shared" si="9"/>
        <v>2.52</v>
      </c>
      <c r="T69" s="10">
        <f t="shared" si="9"/>
        <v>2.52</v>
      </c>
      <c r="U69" s="10">
        <f t="shared" si="9"/>
        <v>2.52</v>
      </c>
      <c r="V69" s="10">
        <f t="shared" si="9"/>
        <v>2.52</v>
      </c>
      <c r="W69" s="10">
        <f t="shared" si="9"/>
        <v>2.52</v>
      </c>
    </row>
    <row r="70" spans="2:23" ht="12.75">
      <c r="B70" s="21" t="s">
        <v>45</v>
      </c>
      <c r="D70" s="36">
        <f aca="true" t="shared" si="10" ref="D70:M70">+D68-D69</f>
        <v>81.48</v>
      </c>
      <c r="E70" s="36">
        <f t="shared" si="10"/>
        <v>81.48</v>
      </c>
      <c r="F70" s="36">
        <f t="shared" si="10"/>
        <v>81.48</v>
      </c>
      <c r="G70" s="36">
        <f t="shared" si="10"/>
        <v>81.48</v>
      </c>
      <c r="H70" s="36">
        <f t="shared" si="10"/>
        <v>81.48</v>
      </c>
      <c r="I70" s="36">
        <f t="shared" si="10"/>
        <v>81.48</v>
      </c>
      <c r="J70" s="36">
        <f t="shared" si="10"/>
        <v>81.48</v>
      </c>
      <c r="K70" s="36">
        <f t="shared" si="10"/>
        <v>81.48</v>
      </c>
      <c r="L70" s="36">
        <f t="shared" si="10"/>
        <v>81.48</v>
      </c>
      <c r="M70" s="36">
        <f t="shared" si="10"/>
        <v>81.48</v>
      </c>
      <c r="N70" s="36">
        <f aca="true" t="shared" si="11" ref="N70:W70">+N68-N69</f>
        <v>81.48</v>
      </c>
      <c r="O70" s="36">
        <f t="shared" si="11"/>
        <v>81.48</v>
      </c>
      <c r="P70" s="36">
        <f t="shared" si="11"/>
        <v>81.48</v>
      </c>
      <c r="Q70" s="36">
        <f t="shared" si="11"/>
        <v>81.48</v>
      </c>
      <c r="R70" s="36">
        <f t="shared" si="11"/>
        <v>81.48</v>
      </c>
      <c r="S70" s="36">
        <f t="shared" si="11"/>
        <v>81.48</v>
      </c>
      <c r="T70" s="36">
        <f t="shared" si="11"/>
        <v>81.48</v>
      </c>
      <c r="U70" s="36">
        <f t="shared" si="11"/>
        <v>81.48</v>
      </c>
      <c r="V70" s="36">
        <f t="shared" si="11"/>
        <v>81.48</v>
      </c>
      <c r="W70" s="36">
        <f t="shared" si="11"/>
        <v>81.48</v>
      </c>
    </row>
    <row r="71" spans="2:23" ht="12.75">
      <c r="B71" s="21" t="s">
        <v>10</v>
      </c>
      <c r="D71" s="36">
        <f>+C11</f>
        <v>2.9</v>
      </c>
      <c r="E71" s="36">
        <f aca="true" t="shared" si="12" ref="E71:M71">+D71+(D71*$C$12)</f>
        <v>2.9579999999999997</v>
      </c>
      <c r="F71" s="36">
        <f t="shared" si="12"/>
        <v>3.0171599999999996</v>
      </c>
      <c r="G71" s="36">
        <f t="shared" si="12"/>
        <v>3.0775031999999998</v>
      </c>
      <c r="H71" s="36">
        <f t="shared" si="12"/>
        <v>3.1390532639999997</v>
      </c>
      <c r="I71" s="36">
        <f t="shared" si="12"/>
        <v>3.2018343292799996</v>
      </c>
      <c r="J71" s="36">
        <f t="shared" si="12"/>
        <v>3.2658710158655997</v>
      </c>
      <c r="K71" s="36">
        <f t="shared" si="12"/>
        <v>3.3311884361829116</v>
      </c>
      <c r="L71" s="36">
        <f t="shared" si="12"/>
        <v>3.39781220490657</v>
      </c>
      <c r="M71" s="36">
        <f t="shared" si="12"/>
        <v>3.4657684490047016</v>
      </c>
      <c r="N71" s="42">
        <f>+C17</f>
        <v>2.2095454705535493</v>
      </c>
      <c r="O71" s="42">
        <f>+N71</f>
        <v>2.2095454705535493</v>
      </c>
      <c r="P71" s="42">
        <f aca="true" t="shared" si="13" ref="P71:W71">+O71</f>
        <v>2.2095454705535493</v>
      </c>
      <c r="Q71" s="42">
        <f t="shared" si="13"/>
        <v>2.2095454705535493</v>
      </c>
      <c r="R71" s="42">
        <f t="shared" si="13"/>
        <v>2.2095454705535493</v>
      </c>
      <c r="S71" s="42">
        <f t="shared" si="13"/>
        <v>2.2095454705535493</v>
      </c>
      <c r="T71" s="42">
        <f t="shared" si="13"/>
        <v>2.2095454705535493</v>
      </c>
      <c r="U71" s="42">
        <f t="shared" si="13"/>
        <v>2.2095454705535493</v>
      </c>
      <c r="V71" s="42">
        <f t="shared" si="13"/>
        <v>2.2095454705535493</v>
      </c>
      <c r="W71" s="42">
        <f t="shared" si="13"/>
        <v>2.2095454705535493</v>
      </c>
    </row>
    <row r="72" spans="2:23" ht="12.75">
      <c r="B72" s="11" t="s">
        <v>11</v>
      </c>
      <c r="C72" s="11"/>
      <c r="D72" s="79">
        <f aca="true" t="shared" si="14" ref="D72:M72">+D70*D71</f>
        <v>236.292</v>
      </c>
      <c r="E72" s="79">
        <f t="shared" si="14"/>
        <v>241.01783999999998</v>
      </c>
      <c r="F72" s="79">
        <f t="shared" si="14"/>
        <v>245.8381968</v>
      </c>
      <c r="G72" s="79">
        <f t="shared" si="14"/>
        <v>250.754960736</v>
      </c>
      <c r="H72" s="79">
        <f t="shared" si="14"/>
        <v>255.77005995072</v>
      </c>
      <c r="I72" s="79">
        <f t="shared" si="14"/>
        <v>260.8854611497344</v>
      </c>
      <c r="J72" s="79">
        <f t="shared" si="14"/>
        <v>266.1031703727291</v>
      </c>
      <c r="K72" s="79">
        <f t="shared" si="14"/>
        <v>271.42523378018365</v>
      </c>
      <c r="L72" s="79">
        <f t="shared" si="14"/>
        <v>276.8537384557873</v>
      </c>
      <c r="M72" s="79">
        <f t="shared" si="14"/>
        <v>282.3908132249031</v>
      </c>
      <c r="N72" s="79">
        <f aca="true" t="shared" si="15" ref="N72:W72">+N70*N71</f>
        <v>180.0337649407032</v>
      </c>
      <c r="O72" s="79">
        <f t="shared" si="15"/>
        <v>180.0337649407032</v>
      </c>
      <c r="P72" s="79">
        <f t="shared" si="15"/>
        <v>180.0337649407032</v>
      </c>
      <c r="Q72" s="79">
        <f t="shared" si="15"/>
        <v>180.0337649407032</v>
      </c>
      <c r="R72" s="79">
        <f t="shared" si="15"/>
        <v>180.0337649407032</v>
      </c>
      <c r="S72" s="79">
        <f t="shared" si="15"/>
        <v>180.0337649407032</v>
      </c>
      <c r="T72" s="79">
        <f t="shared" si="15"/>
        <v>180.0337649407032</v>
      </c>
      <c r="U72" s="79">
        <f t="shared" si="15"/>
        <v>180.0337649407032</v>
      </c>
      <c r="V72" s="79">
        <f t="shared" si="15"/>
        <v>180.0337649407032</v>
      </c>
      <c r="W72" s="79">
        <f t="shared" si="15"/>
        <v>180.0337649407032</v>
      </c>
    </row>
    <row r="73" spans="2:23" ht="12.75">
      <c r="B73" s="21" t="s">
        <v>12</v>
      </c>
      <c r="D73" s="41">
        <f aca="true" t="shared" si="16" ref="D73:M73">+D70*$C$27</f>
        <v>70143.6876</v>
      </c>
      <c r="E73" s="41">
        <f t="shared" si="16"/>
        <v>70143.6876</v>
      </c>
      <c r="F73" s="41">
        <f t="shared" si="16"/>
        <v>70143.6876</v>
      </c>
      <c r="G73" s="41">
        <f t="shared" si="16"/>
        <v>70143.6876</v>
      </c>
      <c r="H73" s="41">
        <f t="shared" si="16"/>
        <v>70143.6876</v>
      </c>
      <c r="I73" s="41">
        <f t="shared" si="16"/>
        <v>70143.6876</v>
      </c>
      <c r="J73" s="41">
        <f t="shared" si="16"/>
        <v>70143.6876</v>
      </c>
      <c r="K73" s="41">
        <f t="shared" si="16"/>
        <v>70143.6876</v>
      </c>
      <c r="L73" s="41">
        <f t="shared" si="16"/>
        <v>70143.6876</v>
      </c>
      <c r="M73" s="41">
        <f t="shared" si="16"/>
        <v>70143.6876</v>
      </c>
      <c r="N73" s="41">
        <v>0</v>
      </c>
      <c r="O73" s="41">
        <f>+N73</f>
        <v>0</v>
      </c>
      <c r="P73" s="41">
        <f aca="true" t="shared" si="17" ref="P73:W73">+O73</f>
        <v>0</v>
      </c>
      <c r="Q73" s="41">
        <f t="shared" si="17"/>
        <v>0</v>
      </c>
      <c r="R73" s="41">
        <f t="shared" si="17"/>
        <v>0</v>
      </c>
      <c r="S73" s="41">
        <f t="shared" si="17"/>
        <v>0</v>
      </c>
      <c r="T73" s="41">
        <f t="shared" si="17"/>
        <v>0</v>
      </c>
      <c r="U73" s="41">
        <f t="shared" si="17"/>
        <v>0</v>
      </c>
      <c r="V73" s="41">
        <f t="shared" si="17"/>
        <v>0</v>
      </c>
      <c r="W73" s="41">
        <f t="shared" si="17"/>
        <v>0</v>
      </c>
    </row>
    <row r="74" spans="2:23" ht="12.75">
      <c r="B74" s="21" t="s">
        <v>62</v>
      </c>
      <c r="D74" s="36">
        <f aca="true" t="shared" si="18" ref="D74:M74">+($D$73*$C$28)*$C$29/1000000</f>
        <v>31.424372044800002</v>
      </c>
      <c r="E74" s="36">
        <f t="shared" si="18"/>
        <v>31.424372044800002</v>
      </c>
      <c r="F74" s="36">
        <f t="shared" si="18"/>
        <v>31.424372044800002</v>
      </c>
      <c r="G74" s="36">
        <f t="shared" si="18"/>
        <v>31.424372044800002</v>
      </c>
      <c r="H74" s="36">
        <f t="shared" si="18"/>
        <v>31.424372044800002</v>
      </c>
      <c r="I74" s="36">
        <f t="shared" si="18"/>
        <v>31.424372044800002</v>
      </c>
      <c r="J74" s="36">
        <f t="shared" si="18"/>
        <v>31.424372044800002</v>
      </c>
      <c r="K74" s="36">
        <f t="shared" si="18"/>
        <v>31.424372044800002</v>
      </c>
      <c r="L74" s="36">
        <f t="shared" si="18"/>
        <v>31.424372044800002</v>
      </c>
      <c r="M74" s="36">
        <f t="shared" si="18"/>
        <v>31.424372044800002</v>
      </c>
      <c r="N74" s="36">
        <v>0</v>
      </c>
      <c r="O74" s="36">
        <f>+N74</f>
        <v>0</v>
      </c>
      <c r="P74" s="36">
        <f aca="true" t="shared" si="19" ref="P74:W74">+O74</f>
        <v>0</v>
      </c>
      <c r="Q74" s="36">
        <f t="shared" si="19"/>
        <v>0</v>
      </c>
      <c r="R74" s="36">
        <f t="shared" si="19"/>
        <v>0</v>
      </c>
      <c r="S74" s="36">
        <f t="shared" si="19"/>
        <v>0</v>
      </c>
      <c r="T74" s="36">
        <f t="shared" si="19"/>
        <v>0</v>
      </c>
      <c r="U74" s="36">
        <f t="shared" si="19"/>
        <v>0</v>
      </c>
      <c r="V74" s="36">
        <f t="shared" si="19"/>
        <v>0</v>
      </c>
      <c r="W74" s="36">
        <f t="shared" si="19"/>
        <v>0</v>
      </c>
    </row>
    <row r="75" spans="2:23" ht="12.75">
      <c r="B75" s="11" t="s">
        <v>13</v>
      </c>
      <c r="C75" s="11"/>
      <c r="D75" s="79">
        <f aca="true" t="shared" si="20" ref="D75:M75">+D72+D74</f>
        <v>267.7163720448</v>
      </c>
      <c r="E75" s="79">
        <f t="shared" si="20"/>
        <v>272.4422120448</v>
      </c>
      <c r="F75" s="79">
        <f t="shared" si="20"/>
        <v>277.2625688448</v>
      </c>
      <c r="G75" s="79">
        <f t="shared" si="20"/>
        <v>282.1793327808</v>
      </c>
      <c r="H75" s="79">
        <f t="shared" si="20"/>
        <v>287.19443199552</v>
      </c>
      <c r="I75" s="79">
        <f t="shared" si="20"/>
        <v>292.3098331945344</v>
      </c>
      <c r="J75" s="79">
        <f t="shared" si="20"/>
        <v>297.5275424175291</v>
      </c>
      <c r="K75" s="79">
        <f t="shared" si="20"/>
        <v>302.84960582498366</v>
      </c>
      <c r="L75" s="79">
        <f t="shared" si="20"/>
        <v>308.27811050058733</v>
      </c>
      <c r="M75" s="79">
        <f t="shared" si="20"/>
        <v>313.81518526970314</v>
      </c>
      <c r="N75" s="79">
        <f aca="true" t="shared" si="21" ref="N75:W75">+N72+N74</f>
        <v>180.0337649407032</v>
      </c>
      <c r="O75" s="79">
        <f t="shared" si="21"/>
        <v>180.0337649407032</v>
      </c>
      <c r="P75" s="79">
        <f t="shared" si="21"/>
        <v>180.0337649407032</v>
      </c>
      <c r="Q75" s="79">
        <f t="shared" si="21"/>
        <v>180.0337649407032</v>
      </c>
      <c r="R75" s="79">
        <f t="shared" si="21"/>
        <v>180.0337649407032</v>
      </c>
      <c r="S75" s="79">
        <f t="shared" si="21"/>
        <v>180.0337649407032</v>
      </c>
      <c r="T75" s="79">
        <f t="shared" si="21"/>
        <v>180.0337649407032</v>
      </c>
      <c r="U75" s="79">
        <f t="shared" si="21"/>
        <v>180.0337649407032</v>
      </c>
      <c r="V75" s="79">
        <f t="shared" si="21"/>
        <v>180.0337649407032</v>
      </c>
      <c r="W75" s="79">
        <f t="shared" si="21"/>
        <v>180.0337649407032</v>
      </c>
    </row>
    <row r="76" spans="2:23" ht="12.75">
      <c r="B76" s="1" t="s">
        <v>14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2:23" ht="12.75">
      <c r="B77" s="21" t="s">
        <v>0</v>
      </c>
      <c r="D77" s="36">
        <f>+C44*C20</f>
        <v>38.36</v>
      </c>
      <c r="E77" s="36">
        <f aca="true" t="shared" si="22" ref="E77:M77">+D77+(D77*$C$21)</f>
        <v>42.196</v>
      </c>
      <c r="F77" s="36">
        <f t="shared" si="22"/>
        <v>46.4156</v>
      </c>
      <c r="G77" s="36">
        <f t="shared" si="22"/>
        <v>51.057159999999996</v>
      </c>
      <c r="H77" s="36">
        <f t="shared" si="22"/>
        <v>56.162876</v>
      </c>
      <c r="I77" s="36">
        <f t="shared" si="22"/>
        <v>61.7791636</v>
      </c>
      <c r="J77" s="36">
        <f t="shared" si="22"/>
        <v>67.95707996</v>
      </c>
      <c r="K77" s="36">
        <f t="shared" si="22"/>
        <v>74.752787956</v>
      </c>
      <c r="L77" s="36">
        <f t="shared" si="22"/>
        <v>82.22806675160001</v>
      </c>
      <c r="M77" s="36">
        <f t="shared" si="22"/>
        <v>90.45087342676001</v>
      </c>
      <c r="N77" s="36">
        <f aca="true" t="shared" si="23" ref="N77:W77">+M77+(M77*$C$21)</f>
        <v>99.49596076943601</v>
      </c>
      <c r="O77" s="36">
        <f t="shared" si="23"/>
        <v>109.44555684637962</v>
      </c>
      <c r="P77" s="36">
        <f t="shared" si="23"/>
        <v>120.39011253101758</v>
      </c>
      <c r="Q77" s="36">
        <f t="shared" si="23"/>
        <v>132.42912378411933</v>
      </c>
      <c r="R77" s="36">
        <f t="shared" si="23"/>
        <v>145.67203616253127</v>
      </c>
      <c r="S77" s="36">
        <f t="shared" si="23"/>
        <v>160.2392397787844</v>
      </c>
      <c r="T77" s="36">
        <f t="shared" si="23"/>
        <v>176.26316375666283</v>
      </c>
      <c r="U77" s="36">
        <f t="shared" si="23"/>
        <v>193.8894801323291</v>
      </c>
      <c r="V77" s="36">
        <f t="shared" si="23"/>
        <v>213.27842814556203</v>
      </c>
      <c r="W77" s="36">
        <f t="shared" si="23"/>
        <v>234.60627096011825</v>
      </c>
    </row>
    <row r="78" spans="2:23" ht="12.75">
      <c r="B78" s="21" t="s">
        <v>15</v>
      </c>
      <c r="D78" s="42">
        <f aca="true" t="shared" si="24" ref="D78:M78">+C63</f>
        <v>65.611453125</v>
      </c>
      <c r="E78" s="42">
        <f t="shared" si="24"/>
        <v>58.70498437500001</v>
      </c>
      <c r="F78" s="42">
        <f t="shared" si="24"/>
        <v>51.79851562500001</v>
      </c>
      <c r="G78" s="42">
        <f t="shared" si="24"/>
        <v>44.89204687500001</v>
      </c>
      <c r="H78" s="42">
        <f t="shared" si="24"/>
        <v>37.98557812500001</v>
      </c>
      <c r="I78" s="42">
        <f t="shared" si="24"/>
        <v>31.079109375000016</v>
      </c>
      <c r="J78" s="42">
        <f t="shared" si="24"/>
        <v>24.17264062500001</v>
      </c>
      <c r="K78" s="42">
        <f t="shared" si="24"/>
        <v>17.266171875000015</v>
      </c>
      <c r="L78" s="42">
        <f t="shared" si="24"/>
        <v>10.359703125000012</v>
      </c>
      <c r="M78" s="42">
        <f t="shared" si="24"/>
        <v>3.4532343750000103</v>
      </c>
      <c r="N78" s="42">
        <f aca="true" t="shared" si="25" ref="N78:W78">+M63</f>
        <v>0</v>
      </c>
      <c r="O78" s="42">
        <f t="shared" si="25"/>
        <v>0</v>
      </c>
      <c r="P78" s="42">
        <f t="shared" si="25"/>
        <v>0</v>
      </c>
      <c r="Q78" s="42">
        <f t="shared" si="25"/>
        <v>0</v>
      </c>
      <c r="R78" s="42">
        <f t="shared" si="25"/>
        <v>0</v>
      </c>
      <c r="S78" s="42">
        <f t="shared" si="25"/>
        <v>0</v>
      </c>
      <c r="T78" s="42">
        <f t="shared" si="25"/>
        <v>0</v>
      </c>
      <c r="U78" s="42">
        <f t="shared" si="25"/>
        <v>0</v>
      </c>
      <c r="V78" s="42">
        <f t="shared" si="25"/>
        <v>0</v>
      </c>
      <c r="W78" s="42">
        <f t="shared" si="25"/>
        <v>0</v>
      </c>
    </row>
    <row r="79" spans="2:23" ht="12.75">
      <c r="B79" s="21" t="s">
        <v>86</v>
      </c>
      <c r="D79" s="42">
        <f>+C52*C53</f>
        <v>4.4399999999999995</v>
      </c>
      <c r="E79" s="42">
        <f aca="true" t="shared" si="26" ref="E79:M79">+D79</f>
        <v>4.4399999999999995</v>
      </c>
      <c r="F79" s="42">
        <f t="shared" si="26"/>
        <v>4.4399999999999995</v>
      </c>
      <c r="G79" s="42">
        <f t="shared" si="26"/>
        <v>4.4399999999999995</v>
      </c>
      <c r="H79" s="42">
        <f t="shared" si="26"/>
        <v>4.4399999999999995</v>
      </c>
      <c r="I79" s="42">
        <f t="shared" si="26"/>
        <v>4.4399999999999995</v>
      </c>
      <c r="J79" s="42">
        <f t="shared" si="26"/>
        <v>4.4399999999999995</v>
      </c>
      <c r="K79" s="42">
        <f t="shared" si="26"/>
        <v>4.4399999999999995</v>
      </c>
      <c r="L79" s="42">
        <f t="shared" si="26"/>
        <v>4.4399999999999995</v>
      </c>
      <c r="M79" s="42">
        <f t="shared" si="26"/>
        <v>4.4399999999999995</v>
      </c>
      <c r="N79" s="42">
        <f aca="true" t="shared" si="27" ref="N79:W79">+M79</f>
        <v>4.4399999999999995</v>
      </c>
      <c r="O79" s="42">
        <f t="shared" si="27"/>
        <v>4.4399999999999995</v>
      </c>
      <c r="P79" s="42">
        <f t="shared" si="27"/>
        <v>4.4399999999999995</v>
      </c>
      <c r="Q79" s="42">
        <f t="shared" si="27"/>
        <v>4.4399999999999995</v>
      </c>
      <c r="R79" s="42">
        <f t="shared" si="27"/>
        <v>4.4399999999999995</v>
      </c>
      <c r="S79" s="42">
        <f t="shared" si="27"/>
        <v>4.4399999999999995</v>
      </c>
      <c r="T79" s="42">
        <f t="shared" si="27"/>
        <v>4.4399999999999995</v>
      </c>
      <c r="U79" s="42">
        <f t="shared" si="27"/>
        <v>4.4399999999999995</v>
      </c>
      <c r="V79" s="42">
        <f t="shared" si="27"/>
        <v>4.4399999999999995</v>
      </c>
      <c r="W79" s="42">
        <f t="shared" si="27"/>
        <v>4.4399999999999995</v>
      </c>
    </row>
    <row r="80" spans="2:23" ht="12.75">
      <c r="B80" s="21" t="s">
        <v>16</v>
      </c>
      <c r="D80" s="36">
        <f>+E118</f>
        <v>30.465858757062147</v>
      </c>
      <c r="E80" s="36">
        <f aca="true" t="shared" si="28" ref="E80:M80">+D80</f>
        <v>30.465858757062147</v>
      </c>
      <c r="F80" s="36">
        <f t="shared" si="28"/>
        <v>30.465858757062147</v>
      </c>
      <c r="G80" s="36">
        <f t="shared" si="28"/>
        <v>30.465858757062147</v>
      </c>
      <c r="H80" s="36">
        <f t="shared" si="28"/>
        <v>30.465858757062147</v>
      </c>
      <c r="I80" s="36">
        <f t="shared" si="28"/>
        <v>30.465858757062147</v>
      </c>
      <c r="J80" s="36">
        <f t="shared" si="28"/>
        <v>30.465858757062147</v>
      </c>
      <c r="K80" s="36">
        <f t="shared" si="28"/>
        <v>30.465858757062147</v>
      </c>
      <c r="L80" s="36">
        <f t="shared" si="28"/>
        <v>30.465858757062147</v>
      </c>
      <c r="M80" s="36">
        <f t="shared" si="28"/>
        <v>30.465858757062147</v>
      </c>
      <c r="N80" s="36">
        <f aca="true" t="shared" si="29" ref="N80:W80">+M80</f>
        <v>30.465858757062147</v>
      </c>
      <c r="O80" s="36">
        <f t="shared" si="29"/>
        <v>30.465858757062147</v>
      </c>
      <c r="P80" s="36">
        <f t="shared" si="29"/>
        <v>30.465858757062147</v>
      </c>
      <c r="Q80" s="36">
        <f t="shared" si="29"/>
        <v>30.465858757062147</v>
      </c>
      <c r="R80" s="36">
        <f t="shared" si="29"/>
        <v>30.465858757062147</v>
      </c>
      <c r="S80" s="36">
        <f t="shared" si="29"/>
        <v>30.465858757062147</v>
      </c>
      <c r="T80" s="36">
        <f t="shared" si="29"/>
        <v>30.465858757062147</v>
      </c>
      <c r="U80" s="36">
        <f t="shared" si="29"/>
        <v>30.465858757062147</v>
      </c>
      <c r="V80" s="36">
        <f t="shared" si="29"/>
        <v>30.465858757062147</v>
      </c>
      <c r="W80" s="36">
        <f t="shared" si="29"/>
        <v>30.465858757062147</v>
      </c>
    </row>
    <row r="81" spans="2:23" ht="12.75">
      <c r="B81" s="11" t="s">
        <v>17</v>
      </c>
      <c r="C81" s="78"/>
      <c r="D81" s="79">
        <f aca="true" t="shared" si="30" ref="D81:M81">SUM(D77:D80)</f>
        <v>138.87731188206214</v>
      </c>
      <c r="E81" s="79">
        <f t="shared" si="30"/>
        <v>135.80684313206214</v>
      </c>
      <c r="F81" s="79">
        <f t="shared" si="30"/>
        <v>133.11997438206214</v>
      </c>
      <c r="G81" s="79">
        <f t="shared" si="30"/>
        <v>130.85506563206215</v>
      </c>
      <c r="H81" s="79">
        <f t="shared" si="30"/>
        <v>129.05431288206213</v>
      </c>
      <c r="I81" s="79">
        <f t="shared" si="30"/>
        <v>127.76413173206215</v>
      </c>
      <c r="J81" s="79">
        <f t="shared" si="30"/>
        <v>127.03557934206216</v>
      </c>
      <c r="K81" s="79">
        <f t="shared" si="30"/>
        <v>126.92481858806217</v>
      </c>
      <c r="L81" s="79">
        <f t="shared" si="30"/>
        <v>127.49362863366217</v>
      </c>
      <c r="M81" s="79">
        <f t="shared" si="30"/>
        <v>128.80996655882217</v>
      </c>
      <c r="N81" s="79">
        <f aca="true" t="shared" si="31" ref="N81:W81">SUM(N77:N80)</f>
        <v>134.40181952649814</v>
      </c>
      <c r="O81" s="79">
        <f t="shared" si="31"/>
        <v>144.35141560344175</v>
      </c>
      <c r="P81" s="79">
        <f t="shared" si="31"/>
        <v>155.29597128807973</v>
      </c>
      <c r="Q81" s="79">
        <f t="shared" si="31"/>
        <v>167.33498254118146</v>
      </c>
      <c r="R81" s="79">
        <f t="shared" si="31"/>
        <v>180.5778949195934</v>
      </c>
      <c r="S81" s="79">
        <f t="shared" si="31"/>
        <v>195.14509853584653</v>
      </c>
      <c r="T81" s="79">
        <f t="shared" si="31"/>
        <v>211.16902251372497</v>
      </c>
      <c r="U81" s="79">
        <f t="shared" si="31"/>
        <v>228.79533888939125</v>
      </c>
      <c r="V81" s="79">
        <f t="shared" si="31"/>
        <v>248.18428690262417</v>
      </c>
      <c r="W81" s="79">
        <f t="shared" si="31"/>
        <v>269.5121297171804</v>
      </c>
    </row>
    <row r="82" spans="2:23" ht="12.75">
      <c r="B82" s="21" t="s">
        <v>18</v>
      </c>
      <c r="D82" s="36">
        <f aca="true" t="shared" si="32" ref="D82:M82">+D72-D81</f>
        <v>97.41468811793786</v>
      </c>
      <c r="E82" s="36">
        <f t="shared" si="32"/>
        <v>105.21099686793784</v>
      </c>
      <c r="F82" s="36">
        <f t="shared" si="32"/>
        <v>112.71822241793785</v>
      </c>
      <c r="G82" s="36">
        <f t="shared" si="32"/>
        <v>119.89989510393784</v>
      </c>
      <c r="H82" s="36">
        <f t="shared" si="32"/>
        <v>126.71574706865786</v>
      </c>
      <c r="I82" s="36">
        <f t="shared" si="32"/>
        <v>133.12132941767226</v>
      </c>
      <c r="J82" s="36">
        <f t="shared" si="32"/>
        <v>139.06759103066693</v>
      </c>
      <c r="K82" s="36">
        <f t="shared" si="32"/>
        <v>144.50041519212147</v>
      </c>
      <c r="L82" s="36">
        <f t="shared" si="32"/>
        <v>149.36010982212514</v>
      </c>
      <c r="M82" s="36">
        <f t="shared" si="32"/>
        <v>153.58084666608096</v>
      </c>
      <c r="N82" s="36">
        <f aca="true" t="shared" si="33" ref="N82:W82">+N72-N81</f>
        <v>45.63194541420506</v>
      </c>
      <c r="O82" s="36">
        <f t="shared" si="33"/>
        <v>35.682349337261456</v>
      </c>
      <c r="P82" s="36">
        <f t="shared" si="33"/>
        <v>24.73779365262348</v>
      </c>
      <c r="Q82" s="36">
        <f t="shared" si="33"/>
        <v>12.698782399521747</v>
      </c>
      <c r="R82" s="36">
        <f t="shared" si="33"/>
        <v>-0.5441299788901972</v>
      </c>
      <c r="S82" s="36">
        <f t="shared" si="33"/>
        <v>-15.111333595143321</v>
      </c>
      <c r="T82" s="36">
        <f t="shared" si="33"/>
        <v>-31.13525757302176</v>
      </c>
      <c r="U82" s="36">
        <f t="shared" si="33"/>
        <v>-48.76157394868804</v>
      </c>
      <c r="V82" s="36">
        <f t="shared" si="33"/>
        <v>-68.15052196192096</v>
      </c>
      <c r="W82" s="36">
        <f t="shared" si="33"/>
        <v>-89.4783647764772</v>
      </c>
    </row>
    <row r="83" spans="2:23" ht="12.75">
      <c r="B83" s="21" t="s">
        <v>19</v>
      </c>
      <c r="D83" s="36">
        <f aca="true" t="shared" si="34" ref="D83:M83">+D75-D81</f>
        <v>128.83906016273784</v>
      </c>
      <c r="E83" s="36">
        <f t="shared" si="34"/>
        <v>136.63536891273785</v>
      </c>
      <c r="F83" s="36">
        <f t="shared" si="34"/>
        <v>144.14259446273786</v>
      </c>
      <c r="G83" s="36">
        <f t="shared" si="34"/>
        <v>151.32426714873785</v>
      </c>
      <c r="H83" s="36">
        <f t="shared" si="34"/>
        <v>158.14011911345787</v>
      </c>
      <c r="I83" s="36">
        <f t="shared" si="34"/>
        <v>164.54570146247227</v>
      </c>
      <c r="J83" s="36">
        <f t="shared" si="34"/>
        <v>170.49196307546694</v>
      </c>
      <c r="K83" s="36">
        <f t="shared" si="34"/>
        <v>175.92478723692147</v>
      </c>
      <c r="L83" s="36">
        <f t="shared" si="34"/>
        <v>180.78448186692515</v>
      </c>
      <c r="M83" s="36">
        <f t="shared" si="34"/>
        <v>185.00521871088097</v>
      </c>
      <c r="N83" s="36">
        <f aca="true" t="shared" si="35" ref="N83:W83">+N75-N81</f>
        <v>45.63194541420506</v>
      </c>
      <c r="O83" s="36">
        <f t="shared" si="35"/>
        <v>35.682349337261456</v>
      </c>
      <c r="P83" s="36">
        <f t="shared" si="35"/>
        <v>24.73779365262348</v>
      </c>
      <c r="Q83" s="36">
        <f t="shared" si="35"/>
        <v>12.698782399521747</v>
      </c>
      <c r="R83" s="36">
        <f t="shared" si="35"/>
        <v>-0.5441299788901972</v>
      </c>
      <c r="S83" s="36">
        <f t="shared" si="35"/>
        <v>-15.111333595143321</v>
      </c>
      <c r="T83" s="36">
        <f t="shared" si="35"/>
        <v>-31.13525757302176</v>
      </c>
      <c r="U83" s="36">
        <f t="shared" si="35"/>
        <v>-48.76157394868804</v>
      </c>
      <c r="V83" s="36">
        <f t="shared" si="35"/>
        <v>-68.15052196192096</v>
      </c>
      <c r="W83" s="36">
        <f t="shared" si="35"/>
        <v>-89.4783647764772</v>
      </c>
    </row>
    <row r="84" spans="2:23" ht="12.75">
      <c r="B84" s="21" t="s">
        <v>20</v>
      </c>
      <c r="D84" s="36">
        <f>+D82*$C$25</f>
        <v>10.929928006832627</v>
      </c>
      <c r="E84" s="36">
        <f aca="true" t="shared" si="36" ref="E84:M84">+E82*$C$25</f>
        <v>11.804673848582624</v>
      </c>
      <c r="F84" s="36">
        <f t="shared" si="36"/>
        <v>12.646984555292626</v>
      </c>
      <c r="G84" s="36">
        <f t="shared" si="36"/>
        <v>13.452768230661825</v>
      </c>
      <c r="H84" s="36">
        <f t="shared" si="36"/>
        <v>14.217506821103411</v>
      </c>
      <c r="I84" s="36">
        <f t="shared" si="36"/>
        <v>14.936213160662826</v>
      </c>
      <c r="J84" s="36">
        <f t="shared" si="36"/>
        <v>15.603383713640829</v>
      </c>
      <c r="K84" s="36">
        <f t="shared" si="36"/>
        <v>16.21294658455603</v>
      </c>
      <c r="L84" s="36">
        <f t="shared" si="36"/>
        <v>16.758204322042438</v>
      </c>
      <c r="M84" s="36">
        <f t="shared" si="36"/>
        <v>17.231770995934284</v>
      </c>
      <c r="N84" s="36">
        <f>+N82*$C$26</f>
        <v>15.359712826421426</v>
      </c>
      <c r="O84" s="36">
        <f aca="true" t="shared" si="37" ref="O84:T84">+O82*$C$26</f>
        <v>12.010678786922206</v>
      </c>
      <c r="P84" s="36">
        <f t="shared" si="37"/>
        <v>8.326741343473063</v>
      </c>
      <c r="Q84" s="36">
        <f t="shared" si="37"/>
        <v>4.27441015567902</v>
      </c>
      <c r="R84" s="36">
        <f t="shared" si="37"/>
        <v>-0.1831541508944404</v>
      </c>
      <c r="S84" s="36">
        <f t="shared" si="37"/>
        <v>-5.086474888125242</v>
      </c>
      <c r="T84" s="36">
        <f t="shared" si="37"/>
        <v>-10.480127699079125</v>
      </c>
      <c r="U84" s="36">
        <v>0</v>
      </c>
      <c r="V84" s="36">
        <v>0</v>
      </c>
      <c r="W84" s="36">
        <v>0</v>
      </c>
    </row>
    <row r="85" spans="2:23" ht="12.75">
      <c r="B85" s="21" t="s">
        <v>21</v>
      </c>
      <c r="D85" s="36">
        <f aca="true" t="shared" si="38" ref="D85:M85">+D83*$C$25</f>
        <v>14.455742550259185</v>
      </c>
      <c r="E85" s="36">
        <f t="shared" si="38"/>
        <v>15.330488392009185</v>
      </c>
      <c r="F85" s="36">
        <f t="shared" si="38"/>
        <v>16.17279909871919</v>
      </c>
      <c r="G85" s="36">
        <f t="shared" si="38"/>
        <v>16.978582774088384</v>
      </c>
      <c r="H85" s="36">
        <f t="shared" si="38"/>
        <v>17.743321364529972</v>
      </c>
      <c r="I85" s="36">
        <f t="shared" si="38"/>
        <v>18.462027704089387</v>
      </c>
      <c r="J85" s="36">
        <f t="shared" si="38"/>
        <v>19.12919825706739</v>
      </c>
      <c r="K85" s="36">
        <f t="shared" si="38"/>
        <v>19.73876112798259</v>
      </c>
      <c r="L85" s="36">
        <f t="shared" si="38"/>
        <v>20.284018865469</v>
      </c>
      <c r="M85" s="36">
        <f t="shared" si="38"/>
        <v>20.757585539360843</v>
      </c>
      <c r="N85" s="36">
        <f>+N83*$C$26</f>
        <v>15.359712826421426</v>
      </c>
      <c r="O85" s="36">
        <f aca="true" t="shared" si="39" ref="O85:T85">+O83*$C$26</f>
        <v>12.010678786922206</v>
      </c>
      <c r="P85" s="36">
        <f t="shared" si="39"/>
        <v>8.326741343473063</v>
      </c>
      <c r="Q85" s="36">
        <f t="shared" si="39"/>
        <v>4.27441015567902</v>
      </c>
      <c r="R85" s="36">
        <f t="shared" si="39"/>
        <v>-0.1831541508944404</v>
      </c>
      <c r="S85" s="36">
        <f t="shared" si="39"/>
        <v>-5.086474888125242</v>
      </c>
      <c r="T85" s="36">
        <f t="shared" si="39"/>
        <v>-10.480127699079125</v>
      </c>
      <c r="U85" s="36">
        <v>0</v>
      </c>
      <c r="V85" s="36">
        <v>0</v>
      </c>
      <c r="W85" s="36">
        <v>0</v>
      </c>
    </row>
    <row r="86" spans="2:23" ht="12.75">
      <c r="B86" s="21" t="s">
        <v>22</v>
      </c>
      <c r="D86" s="36">
        <f aca="true" t="shared" si="40" ref="D86:M86">+D82-D84</f>
        <v>86.48476011110523</v>
      </c>
      <c r="E86" s="36">
        <f t="shared" si="40"/>
        <v>93.40632301935521</v>
      </c>
      <c r="F86" s="36">
        <f t="shared" si="40"/>
        <v>100.07123786264523</v>
      </c>
      <c r="G86" s="36">
        <f t="shared" si="40"/>
        <v>106.447126873276</v>
      </c>
      <c r="H86" s="36">
        <f t="shared" si="40"/>
        <v>112.49824024755445</v>
      </c>
      <c r="I86" s="36">
        <f t="shared" si="40"/>
        <v>118.18511625700943</v>
      </c>
      <c r="J86" s="36">
        <f t="shared" si="40"/>
        <v>123.46420731702611</v>
      </c>
      <c r="K86" s="36">
        <f t="shared" si="40"/>
        <v>128.28746860756544</v>
      </c>
      <c r="L86" s="36">
        <f t="shared" si="40"/>
        <v>132.6019055000827</v>
      </c>
      <c r="M86" s="36">
        <f t="shared" si="40"/>
        <v>136.34907567014668</v>
      </c>
      <c r="N86" s="36">
        <f aca="true" t="shared" si="41" ref="N86:W86">+N82-N84</f>
        <v>30.272232587783638</v>
      </c>
      <c r="O86" s="36">
        <f t="shared" si="41"/>
        <v>23.67167055033925</v>
      </c>
      <c r="P86" s="36">
        <f t="shared" si="41"/>
        <v>16.411052309150417</v>
      </c>
      <c r="Q86" s="36">
        <f t="shared" si="41"/>
        <v>8.424372243842726</v>
      </c>
      <c r="R86" s="36">
        <f t="shared" si="41"/>
        <v>-0.3609758279957568</v>
      </c>
      <c r="S86" s="36">
        <f t="shared" si="41"/>
        <v>-10.02485870701808</v>
      </c>
      <c r="T86" s="36">
        <f t="shared" si="41"/>
        <v>-20.655129873942634</v>
      </c>
      <c r="U86" s="36">
        <f t="shared" si="41"/>
        <v>-48.76157394868804</v>
      </c>
      <c r="V86" s="36">
        <f t="shared" si="41"/>
        <v>-68.15052196192096</v>
      </c>
      <c r="W86" s="36">
        <f t="shared" si="41"/>
        <v>-89.4783647764772</v>
      </c>
    </row>
    <row r="87" spans="2:23" ht="12.75">
      <c r="B87" s="21" t="s">
        <v>23</v>
      </c>
      <c r="D87" s="36">
        <f aca="true" t="shared" si="42" ref="D87:M87">+D83-D85</f>
        <v>114.38331761247865</v>
      </c>
      <c r="E87" s="36">
        <f t="shared" si="42"/>
        <v>121.30488052072866</v>
      </c>
      <c r="F87" s="36">
        <f t="shared" si="42"/>
        <v>127.96979536401867</v>
      </c>
      <c r="G87" s="36">
        <f t="shared" si="42"/>
        <v>134.34568437464947</v>
      </c>
      <c r="H87" s="36">
        <f t="shared" si="42"/>
        <v>140.3967977489279</v>
      </c>
      <c r="I87" s="36">
        <f t="shared" si="42"/>
        <v>146.08367375838287</v>
      </c>
      <c r="J87" s="36">
        <f t="shared" si="42"/>
        <v>151.36276481839954</v>
      </c>
      <c r="K87" s="36">
        <f t="shared" si="42"/>
        <v>156.18602610893888</v>
      </c>
      <c r="L87" s="36">
        <f t="shared" si="42"/>
        <v>160.50046300145615</v>
      </c>
      <c r="M87" s="36">
        <f t="shared" si="42"/>
        <v>164.24763317152014</v>
      </c>
      <c r="N87" s="36">
        <f aca="true" t="shared" si="43" ref="N87:W87">+N83-N85</f>
        <v>30.272232587783638</v>
      </c>
      <c r="O87" s="36">
        <f t="shared" si="43"/>
        <v>23.67167055033925</v>
      </c>
      <c r="P87" s="36">
        <f t="shared" si="43"/>
        <v>16.411052309150417</v>
      </c>
      <c r="Q87" s="36">
        <f t="shared" si="43"/>
        <v>8.424372243842726</v>
      </c>
      <c r="R87" s="36">
        <f t="shared" si="43"/>
        <v>-0.3609758279957568</v>
      </c>
      <c r="S87" s="36">
        <f t="shared" si="43"/>
        <v>-10.02485870701808</v>
      </c>
      <c r="T87" s="36">
        <f t="shared" si="43"/>
        <v>-20.655129873942634</v>
      </c>
      <c r="U87" s="36">
        <f t="shared" si="43"/>
        <v>-48.76157394868804</v>
      </c>
      <c r="V87" s="36">
        <f t="shared" si="43"/>
        <v>-68.15052196192096</v>
      </c>
      <c r="W87" s="36">
        <f t="shared" si="43"/>
        <v>-89.4783647764772</v>
      </c>
    </row>
    <row r="88" spans="2:24" ht="12.75">
      <c r="B88" s="38"/>
      <c r="C88" s="38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"/>
      <c r="O88" s="4"/>
      <c r="P88" s="4"/>
      <c r="Q88" s="4"/>
      <c r="R88" s="4"/>
      <c r="S88" s="4"/>
      <c r="T88" s="4"/>
      <c r="U88" s="4"/>
      <c r="V88" s="4"/>
      <c r="W88" s="4"/>
      <c r="X88" s="4" t="s">
        <v>44</v>
      </c>
    </row>
    <row r="89" spans="2:24" ht="12.75">
      <c r="B89" s="38" t="s">
        <v>24</v>
      </c>
      <c r="C89" s="44">
        <f>-C44</f>
        <v>-959</v>
      </c>
      <c r="D89" s="44">
        <f aca="true" t="shared" si="44" ref="D89:N89">+D86+D80+D78</f>
        <v>182.56207199316736</v>
      </c>
      <c r="E89" s="44">
        <f t="shared" si="44"/>
        <v>182.57716615141737</v>
      </c>
      <c r="F89" s="44">
        <f t="shared" si="44"/>
        <v>182.33561224470736</v>
      </c>
      <c r="G89" s="44">
        <f t="shared" si="44"/>
        <v>181.80503250533815</v>
      </c>
      <c r="H89" s="44">
        <f t="shared" si="44"/>
        <v>180.94967712961662</v>
      </c>
      <c r="I89" s="44">
        <f t="shared" si="44"/>
        <v>179.73008438907158</v>
      </c>
      <c r="J89" s="44">
        <f t="shared" si="44"/>
        <v>178.10270669908826</v>
      </c>
      <c r="K89" s="44">
        <f t="shared" si="44"/>
        <v>176.0194992396276</v>
      </c>
      <c r="L89" s="44">
        <f t="shared" si="44"/>
        <v>173.42746738214484</v>
      </c>
      <c r="M89" s="44">
        <f t="shared" si="44"/>
        <v>170.26816880220883</v>
      </c>
      <c r="N89" s="44">
        <f t="shared" si="44"/>
        <v>60.738091344845785</v>
      </c>
      <c r="O89" s="44">
        <f aca="true" t="shared" si="45" ref="O89:W89">+O86+O80+O78</f>
        <v>54.137529307401394</v>
      </c>
      <c r="P89" s="44">
        <f t="shared" si="45"/>
        <v>46.876911066212564</v>
      </c>
      <c r="Q89" s="44">
        <f t="shared" si="45"/>
        <v>38.890231000904876</v>
      </c>
      <c r="R89" s="44">
        <f t="shared" si="45"/>
        <v>30.10488292906639</v>
      </c>
      <c r="S89" s="44">
        <f t="shared" si="45"/>
        <v>20.441000050044067</v>
      </c>
      <c r="T89" s="44">
        <f t="shared" si="45"/>
        <v>9.810728883119513</v>
      </c>
      <c r="U89" s="44">
        <f t="shared" si="45"/>
        <v>-18.29571519162589</v>
      </c>
      <c r="V89" s="44">
        <f t="shared" si="45"/>
        <v>-37.68466320485881</v>
      </c>
      <c r="W89" s="44">
        <f t="shared" si="45"/>
        <v>-59.012506019415056</v>
      </c>
      <c r="X89" s="44">
        <f>+E116</f>
        <v>51.905197740112996</v>
      </c>
    </row>
    <row r="90" spans="2:24" ht="12.75">
      <c r="B90" s="38" t="s">
        <v>25</v>
      </c>
      <c r="C90" s="44">
        <f>+C89</f>
        <v>-959</v>
      </c>
      <c r="D90" s="44">
        <f aca="true" t="shared" si="46" ref="D90:M90">+D87+D80+D78</f>
        <v>210.4606294945408</v>
      </c>
      <c r="E90" s="44">
        <f t="shared" si="46"/>
        <v>210.4757236527908</v>
      </c>
      <c r="F90" s="44">
        <f t="shared" si="46"/>
        <v>210.2341697460808</v>
      </c>
      <c r="G90" s="44">
        <f t="shared" si="46"/>
        <v>209.7035900067116</v>
      </c>
      <c r="H90" s="44">
        <f t="shared" si="46"/>
        <v>208.84823463099005</v>
      </c>
      <c r="I90" s="44">
        <f t="shared" si="46"/>
        <v>207.628641890445</v>
      </c>
      <c r="J90" s="44">
        <f t="shared" si="46"/>
        <v>206.0012642004617</v>
      </c>
      <c r="K90" s="44">
        <f t="shared" si="46"/>
        <v>203.91805674100104</v>
      </c>
      <c r="L90" s="44">
        <f t="shared" si="46"/>
        <v>201.3260248835183</v>
      </c>
      <c r="M90" s="44">
        <f t="shared" si="46"/>
        <v>198.1667263035823</v>
      </c>
      <c r="N90" s="44">
        <f>+N89</f>
        <v>60.738091344845785</v>
      </c>
      <c r="O90" s="44">
        <f aca="true" t="shared" si="47" ref="O90:W90">+O89</f>
        <v>54.137529307401394</v>
      </c>
      <c r="P90" s="44">
        <f t="shared" si="47"/>
        <v>46.876911066212564</v>
      </c>
      <c r="Q90" s="44">
        <f t="shared" si="47"/>
        <v>38.890231000904876</v>
      </c>
      <c r="R90" s="44">
        <f t="shared" si="47"/>
        <v>30.10488292906639</v>
      </c>
      <c r="S90" s="44">
        <f t="shared" si="47"/>
        <v>20.441000050044067</v>
      </c>
      <c r="T90" s="44">
        <f t="shared" si="47"/>
        <v>9.810728883119513</v>
      </c>
      <c r="U90" s="44">
        <f t="shared" si="47"/>
        <v>-18.29571519162589</v>
      </c>
      <c r="V90" s="44">
        <f t="shared" si="47"/>
        <v>-37.68466320485881</v>
      </c>
      <c r="W90" s="44">
        <f t="shared" si="47"/>
        <v>-59.012506019415056</v>
      </c>
      <c r="X90" s="44">
        <f>+X89</f>
        <v>51.905197740112996</v>
      </c>
    </row>
    <row r="91" spans="2:14" ht="12.75">
      <c r="B91" s="38"/>
      <c r="C91" s="40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2:14" ht="12.75">
      <c r="B92" s="7" t="s">
        <v>26</v>
      </c>
      <c r="C92" s="13">
        <f>IRR(C89:X89)</f>
        <v>0.14567411691971693</v>
      </c>
      <c r="D92" s="39"/>
      <c r="E92" s="39"/>
      <c r="F92" s="6"/>
      <c r="G92" s="6"/>
      <c r="H92" s="4"/>
      <c r="I92" s="6"/>
      <c r="J92" s="39"/>
      <c r="K92" s="39"/>
      <c r="L92" s="39"/>
      <c r="M92" s="39"/>
      <c r="N92" s="39"/>
    </row>
    <row r="93" spans="2:14" ht="12.75">
      <c r="B93" s="7" t="s">
        <v>27</v>
      </c>
      <c r="C93" s="13">
        <f>IRR(C90:X90,10%)</f>
        <v>0.18140345586041517</v>
      </c>
      <c r="D93" s="39"/>
      <c r="E93" s="39"/>
      <c r="F93" s="6"/>
      <c r="G93" s="6"/>
      <c r="H93" s="4"/>
      <c r="I93" s="6"/>
      <c r="J93" s="39"/>
      <c r="K93" s="39"/>
      <c r="L93" s="39"/>
      <c r="M93" s="39"/>
      <c r="N93" s="39"/>
    </row>
    <row r="94" spans="2:13" ht="12.75">
      <c r="B94" s="38"/>
      <c r="C94" s="38"/>
      <c r="D94" s="44"/>
      <c r="E94" s="44"/>
      <c r="F94" s="44"/>
      <c r="G94" s="44"/>
      <c r="H94" s="44"/>
      <c r="I94" s="44"/>
      <c r="J94" s="44"/>
      <c r="K94" s="44"/>
      <c r="M94" s="44"/>
    </row>
    <row r="95" spans="2:13" ht="12.75">
      <c r="B95" s="38"/>
      <c r="C95" s="38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7" spans="2:6" ht="15.75">
      <c r="B97" s="57" t="s">
        <v>100</v>
      </c>
      <c r="C97" s="58"/>
      <c r="D97" s="58"/>
      <c r="E97" s="58"/>
      <c r="F97"/>
    </row>
    <row r="98" spans="2:6" ht="12.75">
      <c r="B98" s="59"/>
      <c r="C98" s="59"/>
      <c r="D98" s="59"/>
      <c r="E98" s="59"/>
      <c r="F98" s="5" t="s">
        <v>54</v>
      </c>
    </row>
    <row r="99" spans="2:6" ht="15.75">
      <c r="B99" s="60" t="s">
        <v>90</v>
      </c>
      <c r="C99" s="60" t="s">
        <v>91</v>
      </c>
      <c r="D99" s="60" t="s">
        <v>92</v>
      </c>
      <c r="E99" s="60" t="s">
        <v>93</v>
      </c>
      <c r="F99" s="60" t="s">
        <v>1</v>
      </c>
    </row>
    <row r="100" spans="2:6" ht="15.75">
      <c r="B100" s="61"/>
      <c r="C100" s="62" t="s">
        <v>94</v>
      </c>
      <c r="D100" s="62" t="s">
        <v>95</v>
      </c>
      <c r="E100" s="62" t="s">
        <v>96</v>
      </c>
      <c r="F100" s="62" t="s">
        <v>94</v>
      </c>
    </row>
    <row r="101" spans="2:6" ht="12.75">
      <c r="B101" s="59"/>
      <c r="C101" s="59" t="s">
        <v>97</v>
      </c>
      <c r="D101" s="59"/>
      <c r="E101" s="59"/>
      <c r="F101" s="59"/>
    </row>
    <row r="102" spans="2:6" ht="12.75">
      <c r="B102" s="31" t="s">
        <v>74</v>
      </c>
      <c r="C102" s="43">
        <f>+C36</f>
        <v>25</v>
      </c>
      <c r="D102" s="43">
        <f>+($D$106/$C$106)*C102</f>
        <v>1.3559322033898304</v>
      </c>
      <c r="E102" s="43">
        <f>+($E$106/$C$106)*C102</f>
        <v>0.7344632768361582</v>
      </c>
      <c r="F102" s="43">
        <f>+C102+D102+E102</f>
        <v>27.09039548022599</v>
      </c>
    </row>
    <row r="103" spans="2:6" ht="12.75">
      <c r="B103" s="31" t="s">
        <v>75</v>
      </c>
      <c r="C103" s="43">
        <f>+C37</f>
        <v>402</v>
      </c>
      <c r="D103" s="43">
        <f>+($D$106/$C$106)*C103</f>
        <v>21.803389830508475</v>
      </c>
      <c r="E103" s="43">
        <f>+($E$106/$C$106)*C103</f>
        <v>11.810169491525423</v>
      </c>
      <c r="F103" s="43">
        <f>+C103+D103+E103</f>
        <v>435.6135593220339</v>
      </c>
    </row>
    <row r="104" spans="2:6" ht="12.75">
      <c r="B104" s="31" t="s">
        <v>76</v>
      </c>
      <c r="C104" s="43">
        <f>+C38</f>
        <v>458</v>
      </c>
      <c r="D104" s="43">
        <f>+($D$106/$C$106)*C104</f>
        <v>24.840677966101694</v>
      </c>
      <c r="E104" s="43">
        <f>+($E$106/$C$106)*C104</f>
        <v>13.455367231638418</v>
      </c>
      <c r="F104" s="43">
        <f>+C104+D104+E104</f>
        <v>496.2960451977401</v>
      </c>
    </row>
    <row r="105" spans="2:6" ht="12.75">
      <c r="B105" s="63"/>
      <c r="C105" s="64"/>
      <c r="D105" s="64"/>
      <c r="E105" s="64"/>
      <c r="F105" s="64"/>
    </row>
    <row r="106" spans="2:6" ht="16.5" thickBot="1">
      <c r="B106" s="65" t="s">
        <v>1</v>
      </c>
      <c r="C106" s="66">
        <f>SUM(C102:C105)</f>
        <v>885</v>
      </c>
      <c r="D106" s="66">
        <f>+C39+C41+C43</f>
        <v>48</v>
      </c>
      <c r="E106" s="66">
        <f>+C42</f>
        <v>26</v>
      </c>
      <c r="F106" s="66">
        <f>+E106+D106+C106</f>
        <v>959</v>
      </c>
    </row>
    <row r="109" spans="2:5" ht="12.75">
      <c r="B109" s="67" t="s">
        <v>109</v>
      </c>
      <c r="C109"/>
      <c r="D109"/>
      <c r="E109"/>
    </row>
    <row r="110" spans="2:5" ht="38.25">
      <c r="B110" s="68" t="s">
        <v>90</v>
      </c>
      <c r="C110" s="12" t="s">
        <v>94</v>
      </c>
      <c r="D110" s="69" t="s">
        <v>98</v>
      </c>
      <c r="E110" s="70" t="s">
        <v>99</v>
      </c>
    </row>
    <row r="111" spans="2:5" ht="12.75">
      <c r="B111" s="71"/>
      <c r="C111" s="71"/>
      <c r="D111" s="71"/>
      <c r="E111" s="71"/>
    </row>
    <row r="112" spans="2:5" ht="12.75">
      <c r="B112" s="31" t="s">
        <v>74</v>
      </c>
      <c r="C112" s="72">
        <f>+F102</f>
        <v>27.09039548022599</v>
      </c>
      <c r="D112" s="73">
        <v>0</v>
      </c>
      <c r="E112" s="72">
        <f>+C112</f>
        <v>27.09039548022599</v>
      </c>
    </row>
    <row r="113" spans="2:5" ht="12.75">
      <c r="B113" s="31" t="s">
        <v>75</v>
      </c>
      <c r="C113" s="72">
        <f>+F103</f>
        <v>435.6135593220339</v>
      </c>
      <c r="D113" s="74">
        <f>+C113-E113</f>
        <v>435.6135593220339</v>
      </c>
      <c r="E113" s="73">
        <v>0</v>
      </c>
    </row>
    <row r="114" spans="2:5" ht="12.75">
      <c r="B114" s="31" t="s">
        <v>76</v>
      </c>
      <c r="C114" s="72">
        <f>+F104</f>
        <v>496.2960451977401</v>
      </c>
      <c r="D114" s="74">
        <f>+(C114*3.5%)*10</f>
        <v>173.70361581920906</v>
      </c>
      <c r="E114" s="74">
        <f>+C114*5%</f>
        <v>24.814802259887006</v>
      </c>
    </row>
    <row r="115" spans="2:5" ht="12.75">
      <c r="B115" s="31"/>
      <c r="C115" s="72"/>
      <c r="D115" s="74"/>
      <c r="E115" s="74"/>
    </row>
    <row r="116" spans="2:5" ht="12.75">
      <c r="B116" s="75" t="s">
        <v>1</v>
      </c>
      <c r="C116" s="76">
        <f>SUM(C112:C114)</f>
        <v>959</v>
      </c>
      <c r="D116" s="76">
        <f>SUM(D112:D114)</f>
        <v>609.317175141243</v>
      </c>
      <c r="E116" s="76">
        <f>SUM(E112:E114)</f>
        <v>51.905197740112996</v>
      </c>
    </row>
    <row r="117" spans="2:5" ht="12.75">
      <c r="B117" s="71"/>
      <c r="C117" s="71"/>
      <c r="D117" s="71"/>
      <c r="E117" s="71"/>
    </row>
    <row r="118" spans="2:7" ht="12.75">
      <c r="B118" s="19" t="s">
        <v>102</v>
      </c>
      <c r="C118" s="3"/>
      <c r="E118" s="3">
        <f>+D116/20</f>
        <v>30.465858757062147</v>
      </c>
      <c r="G118" s="77"/>
    </row>
    <row r="119" spans="1:7" ht="12.75">
      <c r="A119" s="38"/>
      <c r="B119" s="38"/>
      <c r="C119" s="38"/>
      <c r="D119" s="38"/>
      <c r="E119" s="38"/>
      <c r="F119" s="38"/>
      <c r="G119" s="38"/>
    </row>
    <row r="120" spans="1:11" ht="12.75">
      <c r="A120" s="38"/>
      <c r="B120" s="38"/>
      <c r="C120" s="39"/>
      <c r="D120" s="38"/>
      <c r="E120" s="44"/>
      <c r="F120" s="38"/>
      <c r="G120" s="38"/>
      <c r="H120" s="38"/>
      <c r="I120" s="38"/>
      <c r="J120" s="38"/>
      <c r="K120" s="38"/>
    </row>
    <row r="121" spans="1:11" ht="12.75">
      <c r="A121" s="38"/>
      <c r="B121" s="38"/>
      <c r="C121" s="38"/>
      <c r="D121" s="38"/>
      <c r="E121" s="38"/>
      <c r="F121" s="38"/>
      <c r="G121" s="38"/>
      <c r="H121" s="38"/>
      <c r="I121" s="39"/>
      <c r="J121" s="38"/>
      <c r="K121" s="38"/>
    </row>
    <row r="122" spans="1:11" ht="12.75">
      <c r="A122" s="38"/>
      <c r="B122" s="47"/>
      <c r="C122" s="45"/>
      <c r="D122" s="45"/>
      <c r="E122" s="45"/>
      <c r="F122" s="38"/>
      <c r="G122" s="38"/>
      <c r="H122" s="38"/>
      <c r="I122" s="38"/>
      <c r="J122" s="38"/>
      <c r="K122" s="38"/>
    </row>
    <row r="123" spans="1:11" ht="12.75">
      <c r="A123" s="38"/>
      <c r="B123" s="47"/>
      <c r="C123" s="45"/>
      <c r="D123" s="45"/>
      <c r="E123" s="45"/>
      <c r="F123" s="38"/>
      <c r="G123" s="38"/>
      <c r="H123" s="38"/>
      <c r="I123" s="38"/>
      <c r="J123" s="38"/>
      <c r="K123" s="38"/>
    </row>
    <row r="124" spans="1:11" ht="12.75">
      <c r="A124" s="38"/>
      <c r="B124" s="47"/>
      <c r="C124" s="54"/>
      <c r="D124" s="38"/>
      <c r="E124" s="38"/>
      <c r="F124" s="38"/>
      <c r="G124" s="38"/>
      <c r="H124" s="38"/>
      <c r="I124" s="38"/>
      <c r="J124" s="38"/>
      <c r="K124" s="38"/>
    </row>
    <row r="125" spans="1:11" ht="12.75">
      <c r="A125" s="38"/>
      <c r="B125" s="38"/>
      <c r="C125" s="38"/>
      <c r="D125" s="38"/>
      <c r="E125" s="38"/>
      <c r="F125" s="38"/>
      <c r="G125" s="38"/>
      <c r="H125" s="39"/>
      <c r="I125" s="46"/>
      <c r="J125" s="45"/>
      <c r="K125" s="45"/>
    </row>
    <row r="126" spans="1:11" ht="12.75">
      <c r="A126" s="38"/>
      <c r="B126" s="38"/>
      <c r="C126" s="38"/>
      <c r="D126" s="38"/>
      <c r="E126" s="38"/>
      <c r="F126" s="38"/>
      <c r="G126" s="38"/>
      <c r="H126" s="39"/>
      <c r="I126" s="46"/>
      <c r="J126" s="45"/>
      <c r="K126" s="45"/>
    </row>
    <row r="127" spans="1:11" ht="12.75">
      <c r="A127" s="38"/>
      <c r="B127" s="38"/>
      <c r="C127" s="55"/>
      <c r="D127" s="38"/>
      <c r="E127" s="38"/>
      <c r="F127" s="38"/>
      <c r="G127" s="38"/>
      <c r="H127" s="39"/>
      <c r="I127" s="46"/>
      <c r="J127" s="45"/>
      <c r="K127" s="45"/>
    </row>
    <row r="128" spans="1:11" ht="12.75">
      <c r="A128" s="38"/>
      <c r="B128" s="38"/>
      <c r="C128" s="38"/>
      <c r="D128" s="38"/>
      <c r="E128" s="38"/>
      <c r="F128" s="38"/>
      <c r="G128" s="39"/>
      <c r="H128" s="38"/>
      <c r="I128" s="39"/>
      <c r="J128" s="45"/>
      <c r="K128" s="45"/>
    </row>
    <row r="129" spans="1:11" ht="12.75">
      <c r="A129" s="38"/>
      <c r="B129" s="38"/>
      <c r="C129" s="38"/>
      <c r="D129" s="38"/>
      <c r="E129" s="38"/>
      <c r="F129" s="38"/>
      <c r="G129" s="38"/>
      <c r="H129" s="38"/>
      <c r="I129" s="38"/>
      <c r="J129" s="4"/>
      <c r="K129" s="44"/>
    </row>
    <row r="130" spans="1:1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>
      <c r="A133" s="38"/>
      <c r="B133" s="7"/>
      <c r="C133" s="39"/>
      <c r="D133" s="38"/>
      <c r="E133" s="38"/>
      <c r="F133" s="38"/>
      <c r="G133" s="8"/>
      <c r="H133" s="38"/>
      <c r="I133" s="38"/>
      <c r="J133" s="38"/>
      <c r="K133" s="38"/>
    </row>
    <row r="134" spans="1:1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>
      <c r="A135" s="38"/>
      <c r="B135" s="38"/>
      <c r="C135" s="39"/>
      <c r="D135" s="44"/>
      <c r="E135" s="38"/>
      <c r="F135" s="38"/>
      <c r="G135" s="47"/>
      <c r="H135" s="47"/>
      <c r="I135" s="47"/>
      <c r="J135" s="38"/>
      <c r="K135" s="38"/>
    </row>
    <row r="136" spans="1:11" ht="12.75">
      <c r="A136" s="38"/>
      <c r="B136" s="38"/>
      <c r="C136" s="39"/>
      <c r="D136" s="44"/>
      <c r="E136" s="38"/>
      <c r="F136" s="38"/>
      <c r="G136" s="47"/>
      <c r="H136" s="47"/>
      <c r="I136" s="47"/>
      <c r="J136" s="38"/>
      <c r="K136" s="38"/>
    </row>
    <row r="137" spans="1:11" ht="12.75">
      <c r="A137" s="38"/>
      <c r="B137" s="38"/>
      <c r="C137" s="39"/>
      <c r="D137" s="44"/>
      <c r="E137" s="38"/>
      <c r="F137" s="38"/>
      <c r="G137" s="47"/>
      <c r="H137" s="47"/>
      <c r="I137" s="47"/>
      <c r="J137" s="38"/>
      <c r="K137" s="38"/>
    </row>
    <row r="138" spans="1:11" ht="12.75">
      <c r="A138" s="38"/>
      <c r="B138" s="38"/>
      <c r="C138" s="39"/>
      <c r="D138" s="39"/>
      <c r="E138" s="38"/>
      <c r="F138" s="38"/>
      <c r="G138" s="47"/>
      <c r="H138" s="47"/>
      <c r="I138" s="47"/>
      <c r="J138" s="38"/>
      <c r="K138" s="38"/>
    </row>
    <row r="139" spans="1:11" ht="12.75">
      <c r="A139" s="38"/>
      <c r="B139" s="38"/>
      <c r="C139" s="38"/>
      <c r="D139" s="44"/>
      <c r="E139" s="38"/>
      <c r="F139" s="38"/>
      <c r="G139" s="47"/>
      <c r="H139" s="47"/>
      <c r="I139" s="47"/>
      <c r="J139" s="38"/>
      <c r="K139" s="38"/>
    </row>
    <row r="140" spans="1:11" ht="12.75">
      <c r="A140" s="38"/>
      <c r="B140" s="38"/>
      <c r="C140" s="46"/>
      <c r="D140" s="44"/>
      <c r="E140" s="38"/>
      <c r="F140" s="38"/>
      <c r="G140" s="47"/>
      <c r="H140" s="47"/>
      <c r="I140" s="47"/>
      <c r="J140" s="38"/>
      <c r="K140" s="38"/>
    </row>
    <row r="141" spans="1:11" ht="12.75">
      <c r="A141" s="38"/>
      <c r="B141" s="38"/>
      <c r="C141" s="46"/>
      <c r="D141" s="44"/>
      <c r="E141" s="38"/>
      <c r="F141" s="38"/>
      <c r="G141" s="47"/>
      <c r="H141" s="47"/>
      <c r="I141" s="47"/>
      <c r="J141" s="38"/>
      <c r="K141" s="38"/>
    </row>
    <row r="142" spans="1:11" ht="12.75">
      <c r="A142" s="38"/>
      <c r="B142" s="38"/>
      <c r="C142" s="38"/>
      <c r="D142" s="38"/>
      <c r="E142" s="38"/>
      <c r="F142" s="38"/>
      <c r="G142" s="47"/>
      <c r="H142" s="47"/>
      <c r="I142" s="47"/>
      <c r="J142" s="38"/>
      <c r="K142" s="38"/>
    </row>
    <row r="143" spans="1:11" ht="12.75">
      <c r="A143" s="38"/>
      <c r="B143" s="38"/>
      <c r="C143" s="38"/>
      <c r="D143" s="38"/>
      <c r="E143" s="38"/>
      <c r="F143" s="38"/>
      <c r="G143" s="47"/>
      <c r="H143" s="93"/>
      <c r="I143" s="47"/>
      <c r="J143" s="38"/>
      <c r="K143" s="38"/>
    </row>
    <row r="144" spans="1:11" ht="12.75">
      <c r="A144" s="38"/>
      <c r="B144" s="38"/>
      <c r="C144" s="38"/>
      <c r="D144" s="38"/>
      <c r="E144" s="38"/>
      <c r="F144" s="38"/>
      <c r="G144" s="47"/>
      <c r="H144" s="93"/>
      <c r="I144" s="47"/>
      <c r="J144" s="38"/>
      <c r="K144" s="38"/>
    </row>
    <row r="145" spans="1:11" ht="12.75">
      <c r="A145" s="38"/>
      <c r="B145" s="38"/>
      <c r="C145" s="39"/>
      <c r="D145" s="38"/>
      <c r="E145" s="38"/>
      <c r="F145" s="38"/>
      <c r="G145" s="47"/>
      <c r="H145" s="52"/>
      <c r="I145" s="47"/>
      <c r="J145" s="38"/>
      <c r="K145" s="38"/>
    </row>
    <row r="146" spans="1:11" ht="12.75">
      <c r="A146" s="38"/>
      <c r="B146" s="38"/>
      <c r="C146" s="38"/>
      <c r="D146" s="38"/>
      <c r="E146" s="38"/>
      <c r="F146" s="38"/>
      <c r="G146" s="47"/>
      <c r="H146" s="52"/>
      <c r="I146" s="47"/>
      <c r="J146" s="38"/>
      <c r="K146" s="38"/>
    </row>
    <row r="147" spans="1:11" ht="12.75">
      <c r="A147" s="38"/>
      <c r="B147" s="38"/>
      <c r="C147" s="38"/>
      <c r="D147" s="38"/>
      <c r="E147" s="38"/>
      <c r="F147" s="38"/>
      <c r="G147" s="47"/>
      <c r="H147" s="52"/>
      <c r="I147" s="47"/>
      <c r="J147" s="38"/>
      <c r="K147" s="38"/>
    </row>
    <row r="148" spans="1:11" ht="12.75">
      <c r="A148" s="38"/>
      <c r="B148" s="38"/>
      <c r="C148" s="38"/>
      <c r="D148" s="38"/>
      <c r="E148" s="38"/>
      <c r="F148" s="38"/>
      <c r="G148" s="47"/>
      <c r="H148" s="52"/>
      <c r="I148" s="47"/>
      <c r="J148" s="38"/>
      <c r="K148" s="38"/>
    </row>
    <row r="149" spans="1:11" ht="12.75">
      <c r="A149" s="38"/>
      <c r="B149" s="38"/>
      <c r="C149" s="38"/>
      <c r="D149" s="39"/>
      <c r="E149" s="38"/>
      <c r="F149" s="38"/>
      <c r="G149" s="47"/>
      <c r="H149" s="52"/>
      <c r="I149" s="47"/>
      <c r="J149" s="38"/>
      <c r="K149" s="38"/>
    </row>
    <row r="150" spans="1:11" ht="12.75">
      <c r="A150" s="38"/>
      <c r="B150" s="38"/>
      <c r="C150" s="38"/>
      <c r="D150" s="38"/>
      <c r="E150" s="38"/>
      <c r="F150" s="38"/>
      <c r="G150" s="47"/>
      <c r="H150" s="47"/>
      <c r="I150" s="47"/>
      <c r="J150" s="38"/>
      <c r="K150" s="38"/>
    </row>
    <row r="151" spans="1:11" ht="12.75">
      <c r="A151" s="38"/>
      <c r="B151" s="38"/>
      <c r="C151" s="38"/>
      <c r="D151" s="38"/>
      <c r="E151" s="38"/>
      <c r="F151" s="38"/>
      <c r="G151" s="47"/>
      <c r="H151" s="47"/>
      <c r="I151" s="47"/>
      <c r="J151" s="38"/>
      <c r="K151" s="38"/>
    </row>
    <row r="152" spans="1:11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1:16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O153" s="38"/>
      <c r="P153" s="38"/>
    </row>
    <row r="154" spans="1:16" ht="12.75">
      <c r="A154" s="38"/>
      <c r="B154" s="6"/>
      <c r="C154" s="7"/>
      <c r="D154" s="38"/>
      <c r="E154" s="38"/>
      <c r="F154" s="38"/>
      <c r="G154" s="38"/>
      <c r="H154" s="38"/>
      <c r="I154" s="38"/>
      <c r="J154" s="38"/>
      <c r="K154" s="38"/>
      <c r="O154" s="38"/>
      <c r="P154" s="38"/>
    </row>
    <row r="155" spans="1:11" ht="12.75">
      <c r="A155" s="38"/>
      <c r="B155" s="38"/>
      <c r="C155" s="53"/>
      <c r="D155" s="40"/>
      <c r="E155" s="38"/>
      <c r="F155" s="38"/>
      <c r="G155" s="38"/>
      <c r="H155" s="38"/>
      <c r="I155" s="38"/>
      <c r="J155" s="38"/>
      <c r="K155" s="38"/>
    </row>
    <row r="156" spans="1:11" ht="12.75">
      <c r="A156" s="38"/>
      <c r="B156" s="38"/>
      <c r="C156" s="53"/>
      <c r="D156" s="40"/>
      <c r="E156" s="38"/>
      <c r="F156" s="38"/>
      <c r="G156" s="38"/>
      <c r="H156" s="38"/>
      <c r="I156" s="38"/>
      <c r="J156" s="38"/>
      <c r="K156" s="38"/>
    </row>
    <row r="157" spans="1:11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1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7" ht="12.75">
      <c r="A159" s="38"/>
      <c r="B159" s="38"/>
      <c r="C159" s="40"/>
      <c r="D159" s="38"/>
      <c r="E159" s="38"/>
      <c r="F159" s="38"/>
      <c r="G159" s="38"/>
    </row>
    <row r="160" spans="1:7" ht="12.75">
      <c r="A160" s="38"/>
      <c r="B160" s="38"/>
      <c r="C160" s="54"/>
      <c r="D160" s="38"/>
      <c r="E160" s="38"/>
      <c r="F160" s="38"/>
      <c r="G160" s="38"/>
    </row>
    <row r="161" spans="1:7" ht="12.75">
      <c r="A161" s="38"/>
      <c r="B161" s="38"/>
      <c r="C161" s="38"/>
      <c r="D161" s="38"/>
      <c r="E161" s="38"/>
      <c r="F161" s="38"/>
      <c r="G161" s="38"/>
    </row>
    <row r="162" spans="1:7" ht="12.75">
      <c r="A162" s="38"/>
      <c r="B162" s="38"/>
      <c r="C162" s="38"/>
      <c r="D162" s="38"/>
      <c r="E162" s="38"/>
      <c r="F162" s="38"/>
      <c r="G162" s="38"/>
    </row>
    <row r="163" spans="1:7" ht="12.75">
      <c r="A163" s="38"/>
      <c r="B163" s="38"/>
      <c r="C163" s="38"/>
      <c r="D163" s="38"/>
      <c r="E163" s="38"/>
      <c r="F163" s="38"/>
      <c r="G163" s="38"/>
    </row>
    <row r="164" spans="1:7" ht="12.75">
      <c r="A164" s="38"/>
      <c r="B164" s="38"/>
      <c r="C164" s="38"/>
      <c r="D164" s="38"/>
      <c r="E164" s="38"/>
      <c r="F164" s="38"/>
      <c r="G164" s="38"/>
    </row>
  </sheetData>
  <mergeCells count="1">
    <mergeCell ref="D4:E4"/>
  </mergeCells>
  <printOptions gridLines="1"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84"/>
  <sheetViews>
    <sheetView workbookViewId="0" topLeftCell="A1">
      <selection activeCell="D25" sqref="D25"/>
    </sheetView>
  </sheetViews>
  <sheetFormatPr defaultColWidth="9.140625" defaultRowHeight="12.75"/>
  <cols>
    <col min="3" max="3" width="56.8515625" style="0" customWidth="1"/>
    <col min="4" max="4" width="10.28125" style="0" bestFit="1" customWidth="1"/>
    <col min="6" max="6" width="9.28125" style="0" bestFit="1" customWidth="1"/>
  </cols>
  <sheetData>
    <row r="3" ht="12.75">
      <c r="C3" s="1" t="str">
        <f>+'50%S.value (10 Years)'!B3</f>
        <v>PGL SOMESWARA - 24.75 MW</v>
      </c>
    </row>
    <row r="5" spans="2:9" ht="12.75">
      <c r="B5" s="21"/>
      <c r="C5" s="7"/>
      <c r="D5" s="7"/>
      <c r="E5" s="109"/>
      <c r="F5" s="109"/>
      <c r="G5" s="109"/>
      <c r="H5" s="109"/>
      <c r="I5" s="71"/>
    </row>
    <row r="6" spans="2:9" ht="12.75">
      <c r="B6" s="21"/>
      <c r="C6" s="120" t="s">
        <v>111</v>
      </c>
      <c r="D6" s="121"/>
      <c r="E6" s="21"/>
      <c r="F6" s="21"/>
      <c r="G6" s="21"/>
      <c r="H6" s="21"/>
      <c r="I6" s="71"/>
    </row>
    <row r="7" spans="2:9" ht="12.75">
      <c r="B7" s="21"/>
      <c r="C7" s="121"/>
      <c r="D7" s="121"/>
      <c r="E7" s="21"/>
      <c r="F7" s="21"/>
      <c r="G7" s="21"/>
      <c r="H7" s="21"/>
      <c r="I7" s="71"/>
    </row>
    <row r="8" spans="2:9" ht="12.75">
      <c r="B8" s="21"/>
      <c r="C8" s="16" t="s">
        <v>112</v>
      </c>
      <c r="D8" s="2" t="s">
        <v>1</v>
      </c>
      <c r="E8" s="2"/>
      <c r="F8" s="2"/>
      <c r="G8" s="21"/>
      <c r="H8" s="21"/>
      <c r="I8" s="71"/>
    </row>
    <row r="9" spans="2:9" ht="12.75">
      <c r="B9" s="21"/>
      <c r="C9" s="21"/>
      <c r="D9" s="2" t="s">
        <v>113</v>
      </c>
      <c r="E9" s="2"/>
      <c r="F9" s="21"/>
      <c r="G9" s="21"/>
      <c r="H9" s="21"/>
      <c r="I9" s="71"/>
    </row>
    <row r="10" spans="2:9" ht="12.75">
      <c r="B10" s="21"/>
      <c r="C10" s="21" t="s">
        <v>114</v>
      </c>
      <c r="D10" s="10">
        <f>+'50%S.value (10 Years)'!C40-'50%S.value (10 Years)'!C25</f>
        <v>600.5625</v>
      </c>
      <c r="E10" s="2"/>
      <c r="F10" s="43"/>
      <c r="G10" s="21"/>
      <c r="H10" s="21"/>
      <c r="I10" s="71"/>
    </row>
    <row r="11" spans="2:9" ht="12.75">
      <c r="B11" s="21"/>
      <c r="C11" s="21" t="s">
        <v>115</v>
      </c>
      <c r="D11" s="135">
        <f>+'50%S.value (10 Years)'!C16</f>
        <v>0.115</v>
      </c>
      <c r="E11" s="37"/>
      <c r="F11" s="128"/>
      <c r="G11" s="21"/>
      <c r="H11" s="21"/>
      <c r="I11" s="71"/>
    </row>
    <row r="12" spans="2:9" ht="12.75">
      <c r="B12" s="21"/>
      <c r="C12" s="21"/>
      <c r="D12" s="21"/>
      <c r="E12" s="21"/>
      <c r="F12" s="21"/>
      <c r="G12" s="21"/>
      <c r="H12" s="21"/>
      <c r="I12" s="71"/>
    </row>
    <row r="13" spans="2:9" ht="12.75">
      <c r="B13" s="21"/>
      <c r="C13" s="120" t="s">
        <v>82</v>
      </c>
      <c r="D13" s="21"/>
      <c r="E13" s="21"/>
      <c r="F13" s="21"/>
      <c r="G13" s="21"/>
      <c r="H13" s="21"/>
      <c r="I13" s="71"/>
    </row>
    <row r="14" spans="2:9" ht="12.75">
      <c r="B14" s="21"/>
      <c r="C14" s="120"/>
      <c r="D14" s="37"/>
      <c r="E14" s="21"/>
      <c r="F14" s="21"/>
      <c r="G14" s="21"/>
      <c r="H14" s="21"/>
      <c r="I14" s="71"/>
    </row>
    <row r="15" spans="2:9" ht="12.75">
      <c r="B15" s="21"/>
      <c r="C15" s="21" t="s">
        <v>116</v>
      </c>
      <c r="D15" s="10">
        <f>+'50%S.value (10 Years)'!C39</f>
        <v>320</v>
      </c>
      <c r="E15" s="21"/>
      <c r="F15" s="43"/>
      <c r="G15" s="21"/>
      <c r="H15" s="21"/>
      <c r="I15" s="71"/>
    </row>
    <row r="16" spans="2:9" ht="12.75">
      <c r="B16" s="21"/>
      <c r="C16" s="21" t="s">
        <v>134</v>
      </c>
      <c r="D16" s="123">
        <v>1139</v>
      </c>
      <c r="E16" s="21"/>
      <c r="F16" s="124"/>
      <c r="G16" s="21"/>
      <c r="H16" s="21"/>
      <c r="I16" s="71"/>
    </row>
    <row r="17" spans="2:9" ht="12.75">
      <c r="B17" s="21"/>
      <c r="C17" s="21" t="s">
        <v>135</v>
      </c>
      <c r="D17" s="123">
        <v>2036</v>
      </c>
      <c r="E17" s="21"/>
      <c r="F17" s="21"/>
      <c r="G17" s="21"/>
      <c r="H17" s="21"/>
      <c r="I17" s="71"/>
    </row>
    <row r="18" spans="2:9" ht="12.75">
      <c r="B18" s="21"/>
      <c r="C18" s="21" t="s">
        <v>117</v>
      </c>
      <c r="D18" s="123">
        <f>+D17-D16</f>
        <v>897</v>
      </c>
      <c r="E18" s="21"/>
      <c r="F18" s="125"/>
      <c r="G18" s="21"/>
      <c r="H18" s="21"/>
      <c r="I18" s="71"/>
    </row>
    <row r="19" spans="2:9" ht="12.75">
      <c r="B19" s="21"/>
      <c r="C19" s="21" t="s">
        <v>118</v>
      </c>
      <c r="D19" s="126">
        <f>+D18/D16</f>
        <v>0.7875329236172081</v>
      </c>
      <c r="E19" s="21"/>
      <c r="F19" s="127"/>
      <c r="G19" s="21"/>
      <c r="H19" s="21"/>
      <c r="I19" s="71"/>
    </row>
    <row r="20" spans="2:9" ht="12.75">
      <c r="B20" s="21"/>
      <c r="C20" s="21" t="s">
        <v>119</v>
      </c>
      <c r="D20" s="126">
        <f>+D19/3</f>
        <v>0.26251097453906935</v>
      </c>
      <c r="E20" s="21"/>
      <c r="F20" s="127"/>
      <c r="G20" s="21"/>
      <c r="H20" s="21"/>
      <c r="I20" s="71"/>
    </row>
    <row r="21" spans="2:9" ht="12.75">
      <c r="B21" s="21"/>
      <c r="C21" s="21"/>
      <c r="D21" s="136"/>
      <c r="E21" s="21"/>
      <c r="F21" s="128"/>
      <c r="G21" s="21"/>
      <c r="H21" s="21"/>
      <c r="I21" s="71"/>
    </row>
    <row r="22" spans="2:9" ht="12.75">
      <c r="B22" s="21"/>
      <c r="C22" s="21"/>
      <c r="D22" s="5"/>
      <c r="E22" s="38"/>
      <c r="F22" s="21"/>
      <c r="G22" s="21"/>
      <c r="H22" s="21"/>
      <c r="I22" s="71"/>
    </row>
    <row r="23" spans="2:9" ht="12.75">
      <c r="B23" s="21"/>
      <c r="C23" s="21" t="s">
        <v>133</v>
      </c>
      <c r="D23" s="5"/>
      <c r="E23" s="21"/>
      <c r="F23" s="21"/>
      <c r="G23" s="21"/>
      <c r="H23" s="21"/>
      <c r="I23" s="71"/>
    </row>
    <row r="24" spans="2:9" ht="12.75">
      <c r="B24" s="21"/>
      <c r="C24" s="21"/>
      <c r="D24" s="5"/>
      <c r="E24" s="21"/>
      <c r="F24" s="21"/>
      <c r="G24" s="21"/>
      <c r="H24" s="21"/>
      <c r="I24" s="71"/>
    </row>
    <row r="25" spans="2:9" ht="12.75">
      <c r="B25" s="21"/>
      <c r="C25" s="21" t="s">
        <v>120</v>
      </c>
      <c r="D25" s="137">
        <f>+D20</f>
        <v>0.26251097453906935</v>
      </c>
      <c r="E25" s="21"/>
      <c r="F25" s="122"/>
      <c r="G25" s="21"/>
      <c r="H25" s="21"/>
      <c r="I25" s="71"/>
    </row>
    <row r="26" spans="2:9" ht="12.75">
      <c r="B26" s="21"/>
      <c r="C26" s="21" t="s">
        <v>121</v>
      </c>
      <c r="D26" s="137">
        <f>+D25*0.1</f>
        <v>0.026251097453906937</v>
      </c>
      <c r="E26" s="21"/>
      <c r="F26" s="129"/>
      <c r="G26" s="21"/>
      <c r="H26" s="21"/>
      <c r="I26" s="71"/>
    </row>
    <row r="27" spans="2:9" ht="12.75">
      <c r="B27" s="21"/>
      <c r="C27" s="21" t="s">
        <v>122</v>
      </c>
      <c r="D27" s="137">
        <f>+D25*0.1307</f>
        <v>0.034310184372256365</v>
      </c>
      <c r="E27" s="21"/>
      <c r="F27" s="129"/>
      <c r="G27" s="21"/>
      <c r="H27" s="21"/>
      <c r="I27" s="71"/>
    </row>
    <row r="28" spans="2:9" ht="12.75">
      <c r="B28" s="21"/>
      <c r="C28" s="142" t="s">
        <v>123</v>
      </c>
      <c r="D28" s="136">
        <f>+D25+D26+D27</f>
        <v>0.3230722563652326</v>
      </c>
      <c r="E28" s="21"/>
      <c r="F28" s="130"/>
      <c r="G28" s="21"/>
      <c r="H28" s="21"/>
      <c r="I28" s="71"/>
    </row>
    <row r="29" spans="2:9" ht="12.75">
      <c r="B29" s="21"/>
      <c r="C29" s="21"/>
      <c r="D29" s="107"/>
      <c r="E29" s="21"/>
      <c r="F29" s="38"/>
      <c r="G29" s="21"/>
      <c r="H29" s="21"/>
      <c r="I29" s="71"/>
    </row>
    <row r="30" spans="2:9" ht="12.75">
      <c r="B30" s="21"/>
      <c r="C30" s="131" t="s">
        <v>124</v>
      </c>
      <c r="D30" s="107"/>
      <c r="E30" s="21"/>
      <c r="F30" s="38"/>
      <c r="G30" s="21"/>
      <c r="H30" s="21"/>
      <c r="I30" s="71"/>
    </row>
    <row r="31" spans="2:9" ht="12.75">
      <c r="B31" s="21"/>
      <c r="C31" s="21"/>
      <c r="D31" s="107"/>
      <c r="E31" s="21"/>
      <c r="F31" s="38"/>
      <c r="G31" s="21"/>
      <c r="H31" s="21"/>
      <c r="I31" s="71"/>
    </row>
    <row r="32" spans="2:9" ht="12.75">
      <c r="B32" s="21"/>
      <c r="C32" s="21" t="s">
        <v>136</v>
      </c>
      <c r="D32" s="137">
        <v>0.07</v>
      </c>
      <c r="E32" s="21"/>
      <c r="F32" s="38"/>
      <c r="G32" s="21"/>
      <c r="H32" s="21"/>
      <c r="I32" s="71"/>
    </row>
    <row r="33" spans="2:9" ht="12.75">
      <c r="B33" s="21"/>
      <c r="C33" s="21" t="s">
        <v>137</v>
      </c>
      <c r="D33" s="137">
        <v>0.25</v>
      </c>
      <c r="E33" s="21"/>
      <c r="F33" s="38"/>
      <c r="G33" s="21"/>
      <c r="H33" s="21"/>
      <c r="I33" s="71"/>
    </row>
    <row r="34" spans="2:9" ht="12.75">
      <c r="B34" s="21"/>
      <c r="C34" s="21" t="s">
        <v>138</v>
      </c>
      <c r="D34" s="137">
        <v>0.82</v>
      </c>
      <c r="E34" s="21"/>
      <c r="F34" s="38"/>
      <c r="G34" s="21"/>
      <c r="H34" s="21"/>
      <c r="I34" s="71"/>
    </row>
    <row r="35" spans="2:9" ht="12.75">
      <c r="B35" s="21"/>
      <c r="C35" s="21" t="s">
        <v>125</v>
      </c>
      <c r="D35" s="137">
        <f>+D32*D34/D33</f>
        <v>0.2296</v>
      </c>
      <c r="E35" s="21"/>
      <c r="F35" s="38"/>
      <c r="G35" s="21"/>
      <c r="H35" s="21"/>
      <c r="I35" s="71"/>
    </row>
    <row r="36" spans="2:9" ht="12.75">
      <c r="B36" s="21"/>
      <c r="C36" s="21" t="s">
        <v>126</v>
      </c>
      <c r="D36" s="107"/>
      <c r="E36" s="21"/>
      <c r="F36" s="38"/>
      <c r="G36" s="21"/>
      <c r="H36" s="21"/>
      <c r="I36" s="71"/>
    </row>
    <row r="37" spans="2:9" ht="12.75">
      <c r="B37" s="21"/>
      <c r="C37" s="107" t="s">
        <v>127</v>
      </c>
      <c r="D37" s="137">
        <f>+AVERAGE(D28,D35)</f>
        <v>0.2763361281826163</v>
      </c>
      <c r="E37" s="21"/>
      <c r="F37" s="132"/>
      <c r="G37" s="21"/>
      <c r="H37" s="21"/>
      <c r="I37" s="71"/>
    </row>
    <row r="38" spans="2:9" ht="12.75">
      <c r="B38" s="21"/>
      <c r="C38" s="21"/>
      <c r="D38" s="107"/>
      <c r="E38" s="21"/>
      <c r="F38" s="38"/>
      <c r="G38" s="21"/>
      <c r="H38" s="21"/>
      <c r="I38" s="71"/>
    </row>
    <row r="39" spans="2:9" ht="12.75">
      <c r="B39" s="21"/>
      <c r="C39" s="38"/>
      <c r="D39" s="38"/>
      <c r="E39" s="38"/>
      <c r="F39" s="38"/>
      <c r="G39" s="21"/>
      <c r="H39" s="21"/>
      <c r="I39" s="71"/>
    </row>
    <row r="40" spans="2:9" ht="12.75">
      <c r="B40" s="21"/>
      <c r="C40" s="21" t="s">
        <v>128</v>
      </c>
      <c r="D40" s="137">
        <f>+D37</f>
        <v>0.2763361281826163</v>
      </c>
      <c r="E40" s="43">
        <f>+D15</f>
        <v>320</v>
      </c>
      <c r="F40" s="43">
        <f>+E40*D40</f>
        <v>88.42756101843722</v>
      </c>
      <c r="G40" s="21"/>
      <c r="H40" s="133"/>
      <c r="I40" s="71"/>
    </row>
    <row r="41" spans="2:9" ht="12.75">
      <c r="B41" s="21"/>
      <c r="C41" s="21" t="s">
        <v>129</v>
      </c>
      <c r="D41" s="138">
        <f>+D11</f>
        <v>0.115</v>
      </c>
      <c r="E41" s="43">
        <f>+D10</f>
        <v>600.5625</v>
      </c>
      <c r="F41" s="43">
        <f>+D41*E41</f>
        <v>69.0646875</v>
      </c>
      <c r="G41" s="21"/>
      <c r="H41" s="43"/>
      <c r="I41" s="71"/>
    </row>
    <row r="42" spans="2:9" ht="12.75">
      <c r="B42" s="21"/>
      <c r="C42" s="21" t="s">
        <v>130</v>
      </c>
      <c r="D42" s="143">
        <f>+F42/E42</f>
        <v>0.17108262450234202</v>
      </c>
      <c r="E42" s="43">
        <f>+E40+E41</f>
        <v>920.5625</v>
      </c>
      <c r="F42" s="43">
        <f>+F40+F41</f>
        <v>157.49224851843724</v>
      </c>
      <c r="G42" s="21"/>
      <c r="H42" s="43"/>
      <c r="I42" s="71"/>
    </row>
    <row r="43" spans="2:9" ht="13.5">
      <c r="B43" s="21"/>
      <c r="C43" s="139"/>
      <c r="D43" s="140"/>
      <c r="E43" s="134"/>
      <c r="F43" s="134"/>
      <c r="G43" s="21"/>
      <c r="H43" s="21"/>
      <c r="I43" s="71"/>
    </row>
    <row r="44" spans="2:9" ht="12.75">
      <c r="B44" s="21"/>
      <c r="C44" s="109" t="s">
        <v>145</v>
      </c>
      <c r="D44" s="71"/>
      <c r="E44" s="71"/>
      <c r="F44" s="21"/>
      <c r="G44" s="21"/>
      <c r="H44" s="108"/>
      <c r="I44" s="71"/>
    </row>
    <row r="45" spans="2:9" ht="12.75">
      <c r="B45" s="21"/>
      <c r="C45" s="144" t="s">
        <v>146</v>
      </c>
      <c r="D45" s="71"/>
      <c r="E45" s="71"/>
      <c r="F45" s="21"/>
      <c r="G45" s="21"/>
      <c r="H45" s="108"/>
      <c r="I45" s="71"/>
    </row>
    <row r="46" spans="2:9" ht="12.75">
      <c r="B46" s="21"/>
      <c r="C46" s="144" t="s">
        <v>142</v>
      </c>
      <c r="D46" s="71"/>
      <c r="E46" s="71"/>
      <c r="F46" s="21"/>
      <c r="G46" s="21"/>
      <c r="H46" s="108"/>
      <c r="I46" s="71"/>
    </row>
    <row r="47" spans="2:9" ht="12.75">
      <c r="B47" s="21"/>
      <c r="C47" s="144" t="s">
        <v>143</v>
      </c>
      <c r="D47" s="71"/>
      <c r="E47" s="71"/>
      <c r="F47" s="21"/>
      <c r="G47" s="21"/>
      <c r="H47" s="108"/>
      <c r="I47" s="71"/>
    </row>
    <row r="48" spans="2:9" ht="12.75">
      <c r="B48" s="21"/>
      <c r="C48" s="144" t="s">
        <v>144</v>
      </c>
      <c r="D48" s="71"/>
      <c r="E48" s="71"/>
      <c r="F48" s="21"/>
      <c r="G48" s="21"/>
      <c r="H48" s="108"/>
      <c r="I48" s="71"/>
    </row>
    <row r="49" spans="2:9" ht="12.75">
      <c r="B49" s="21"/>
      <c r="C49" s="71"/>
      <c r="D49" s="71"/>
      <c r="E49" s="71"/>
      <c r="F49" s="21"/>
      <c r="G49" s="21"/>
      <c r="H49" s="108"/>
      <c r="I49" s="71"/>
    </row>
    <row r="50" spans="2:9" ht="12.75">
      <c r="B50" s="21"/>
      <c r="C50" s="21"/>
      <c r="D50" s="21"/>
      <c r="E50" s="21"/>
      <c r="F50" s="21"/>
      <c r="G50" s="21"/>
      <c r="H50" s="21"/>
      <c r="I50" s="71"/>
    </row>
    <row r="51" spans="2:9" ht="12.75">
      <c r="B51" s="21"/>
      <c r="C51" s="5" t="s">
        <v>139</v>
      </c>
      <c r="D51" s="5"/>
      <c r="E51" s="5"/>
      <c r="F51" s="5"/>
      <c r="G51" s="5"/>
      <c r="H51" s="5"/>
      <c r="I51" s="71"/>
    </row>
    <row r="52" spans="2:9" ht="12.75">
      <c r="B52" s="21"/>
      <c r="C52" s="5" t="s">
        <v>140</v>
      </c>
      <c r="D52" s="5"/>
      <c r="E52" s="5"/>
      <c r="F52" s="5"/>
      <c r="G52" s="5"/>
      <c r="H52" s="5"/>
      <c r="I52" s="71"/>
    </row>
    <row r="53" spans="2:9" ht="12.75">
      <c r="B53" s="21"/>
      <c r="C53" s="5" t="s">
        <v>131</v>
      </c>
      <c r="D53" s="5"/>
      <c r="E53" s="5"/>
      <c r="F53" s="5"/>
      <c r="G53" s="5"/>
      <c r="H53" s="5"/>
      <c r="I53" s="71"/>
    </row>
    <row r="54" spans="2:9" ht="12.75">
      <c r="B54" s="21"/>
      <c r="C54" s="5" t="s">
        <v>141</v>
      </c>
      <c r="D54" s="5"/>
      <c r="E54" s="5"/>
      <c r="F54" s="5"/>
      <c r="G54" s="5"/>
      <c r="H54" s="5"/>
      <c r="I54" s="71"/>
    </row>
    <row r="55" spans="2:9" ht="12.75">
      <c r="B55" s="21"/>
      <c r="C55" s="5" t="s">
        <v>132</v>
      </c>
      <c r="D55" s="5"/>
      <c r="E55" s="5"/>
      <c r="F55" s="5"/>
      <c r="G55" s="5"/>
      <c r="H55" s="5"/>
      <c r="I55" s="71"/>
    </row>
    <row r="56" spans="3:9" ht="12.75">
      <c r="C56" s="141"/>
      <c r="D56" s="5"/>
      <c r="E56" s="5"/>
      <c r="F56" s="5"/>
      <c r="G56" s="5"/>
      <c r="H56" s="5"/>
      <c r="I56" s="71"/>
    </row>
    <row r="57" spans="3:9" ht="12.75">
      <c r="C57" s="71"/>
      <c r="D57" s="71"/>
      <c r="E57" s="71"/>
      <c r="F57" s="71"/>
      <c r="G57" s="71"/>
      <c r="H57" s="71"/>
      <c r="I57" s="71"/>
    </row>
    <row r="58" spans="6:9" ht="12.75">
      <c r="F58" s="71"/>
      <c r="G58" s="71"/>
      <c r="H58" s="71"/>
      <c r="I58" s="71"/>
    </row>
    <row r="59" spans="6:9" ht="12.75">
      <c r="F59" s="71"/>
      <c r="G59" s="71"/>
      <c r="H59" s="71"/>
      <c r="I59" s="71"/>
    </row>
    <row r="60" spans="6:9" ht="12.75">
      <c r="F60" s="71"/>
      <c r="G60" s="71"/>
      <c r="H60" s="71"/>
      <c r="I60" s="71"/>
    </row>
    <row r="61" spans="6:9" ht="12.75">
      <c r="F61" s="71"/>
      <c r="G61" s="71"/>
      <c r="H61" s="71"/>
      <c r="I61" s="71"/>
    </row>
    <row r="62" spans="6:9" ht="12.75">
      <c r="F62" s="71"/>
      <c r="G62" s="71"/>
      <c r="H62" s="71"/>
      <c r="I62" s="71"/>
    </row>
    <row r="63" spans="6:9" ht="12.75">
      <c r="F63" s="71"/>
      <c r="G63" s="71"/>
      <c r="H63" s="71"/>
      <c r="I63" s="71"/>
    </row>
    <row r="64" spans="6:9" ht="12.75">
      <c r="F64" s="71"/>
      <c r="G64" s="71"/>
      <c r="H64" s="71"/>
      <c r="I64" s="71"/>
    </row>
    <row r="65" spans="3:9" ht="12.75">
      <c r="C65" s="71"/>
      <c r="D65" s="71"/>
      <c r="E65" s="71"/>
      <c r="F65" s="71"/>
      <c r="G65" s="71"/>
      <c r="H65" s="71"/>
      <c r="I65" s="71"/>
    </row>
    <row r="66" spans="3:9" ht="12.75">
      <c r="C66" s="71"/>
      <c r="D66" s="71"/>
      <c r="E66" s="71"/>
      <c r="F66" s="71"/>
      <c r="G66" s="71"/>
      <c r="H66" s="71"/>
      <c r="I66" s="71"/>
    </row>
    <row r="67" spans="3:9" ht="12.75">
      <c r="C67" s="71"/>
      <c r="D67" s="71"/>
      <c r="E67" s="71"/>
      <c r="F67" s="71"/>
      <c r="G67" s="71"/>
      <c r="H67" s="71"/>
      <c r="I67" s="71"/>
    </row>
    <row r="68" spans="3:9" ht="12.75">
      <c r="C68" s="71"/>
      <c r="D68" s="71"/>
      <c r="E68" s="71"/>
      <c r="F68" s="71"/>
      <c r="G68" s="71"/>
      <c r="H68" s="71"/>
      <c r="I68" s="71"/>
    </row>
    <row r="69" spans="3:9" ht="12.75">
      <c r="C69" s="71"/>
      <c r="D69" s="71"/>
      <c r="E69" s="71"/>
      <c r="F69" s="71"/>
      <c r="G69" s="71"/>
      <c r="H69" s="71"/>
      <c r="I69" s="71"/>
    </row>
    <row r="70" spans="3:9" ht="12.75">
      <c r="C70" s="71"/>
      <c r="D70" s="71"/>
      <c r="E70" s="71"/>
      <c r="F70" s="71"/>
      <c r="G70" s="71"/>
      <c r="H70" s="71"/>
      <c r="I70" s="71"/>
    </row>
    <row r="71" spans="3:9" ht="12.75">
      <c r="C71" s="71"/>
      <c r="D71" s="71"/>
      <c r="E71" s="71"/>
      <c r="F71" s="71"/>
      <c r="G71" s="71"/>
      <c r="H71" s="71"/>
      <c r="I71" s="71"/>
    </row>
    <row r="72" spans="3:9" ht="12.75">
      <c r="C72" s="71"/>
      <c r="D72" s="71"/>
      <c r="E72" s="71"/>
      <c r="F72" s="71"/>
      <c r="G72" s="71"/>
      <c r="H72" s="71"/>
      <c r="I72" s="71"/>
    </row>
    <row r="73" spans="3:9" ht="12.75">
      <c r="C73" s="71"/>
      <c r="D73" s="71"/>
      <c r="E73" s="71"/>
      <c r="F73" s="71"/>
      <c r="G73" s="71"/>
      <c r="H73" s="71"/>
      <c r="I73" s="71"/>
    </row>
    <row r="74" spans="3:9" ht="12.75">
      <c r="C74" s="71"/>
      <c r="D74" s="71"/>
      <c r="E74" s="71"/>
      <c r="F74" s="71"/>
      <c r="G74" s="71"/>
      <c r="H74" s="71"/>
      <c r="I74" s="71"/>
    </row>
    <row r="75" spans="3:9" ht="12.75">
      <c r="C75" s="71"/>
      <c r="D75" s="71"/>
      <c r="E75" s="71"/>
      <c r="F75" s="71"/>
      <c r="G75" s="71"/>
      <c r="H75" s="71"/>
      <c r="I75" s="71"/>
    </row>
    <row r="76" spans="3:9" ht="12.75">
      <c r="C76" s="71"/>
      <c r="D76" s="71"/>
      <c r="E76" s="71"/>
      <c r="F76" s="71"/>
      <c r="G76" s="71"/>
      <c r="H76" s="71"/>
      <c r="I76" s="71"/>
    </row>
    <row r="77" spans="3:9" ht="12.75">
      <c r="C77" s="71"/>
      <c r="D77" s="71"/>
      <c r="E77" s="71"/>
      <c r="F77" s="71"/>
      <c r="G77" s="71"/>
      <c r="H77" s="71"/>
      <c r="I77" s="71"/>
    </row>
    <row r="78" spans="3:9" ht="12.75">
      <c r="C78" s="71"/>
      <c r="D78" s="71"/>
      <c r="E78" s="71"/>
      <c r="F78" s="71"/>
      <c r="G78" s="71"/>
      <c r="H78" s="71"/>
      <c r="I78" s="71"/>
    </row>
    <row r="79" spans="3:9" ht="12.75">
      <c r="C79" s="71"/>
      <c r="D79" s="71"/>
      <c r="E79" s="71"/>
      <c r="F79" s="71"/>
      <c r="G79" s="71"/>
      <c r="H79" s="71"/>
      <c r="I79" s="71"/>
    </row>
    <row r="80" spans="3:9" ht="12.75">
      <c r="C80" s="71"/>
      <c r="D80" s="71"/>
      <c r="E80" s="71"/>
      <c r="F80" s="71"/>
      <c r="G80" s="71"/>
      <c r="H80" s="71"/>
      <c r="I80" s="71"/>
    </row>
    <row r="81" spans="3:9" ht="12.75">
      <c r="C81" s="71"/>
      <c r="D81" s="71"/>
      <c r="E81" s="71"/>
      <c r="F81" s="71"/>
      <c r="G81" s="71"/>
      <c r="H81" s="71"/>
      <c r="I81" s="71"/>
    </row>
    <row r="82" spans="3:9" ht="12.75">
      <c r="C82" s="71"/>
      <c r="D82" s="71"/>
      <c r="E82" s="71"/>
      <c r="F82" s="71"/>
      <c r="G82" s="71"/>
      <c r="H82" s="71"/>
      <c r="I82" s="71"/>
    </row>
    <row r="83" spans="3:9" ht="12.75">
      <c r="C83" s="71"/>
      <c r="D83" s="71"/>
      <c r="E83" s="71"/>
      <c r="F83" s="71"/>
      <c r="G83" s="71"/>
      <c r="H83" s="71"/>
      <c r="I83" s="71"/>
    </row>
    <row r="84" spans="3:9" ht="12.75">
      <c r="C84" s="71"/>
      <c r="D84" s="71"/>
      <c r="E84" s="71"/>
      <c r="F84" s="71"/>
      <c r="G84" s="71"/>
      <c r="H84" s="71"/>
      <c r="I84" s="71"/>
    </row>
  </sheetData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murthy</cp:lastModifiedBy>
  <cp:lastPrinted>2007-12-31T11:57:36Z</cp:lastPrinted>
  <dcterms:created xsi:type="dcterms:W3CDTF">1996-10-14T23:33:28Z</dcterms:created>
  <dcterms:modified xsi:type="dcterms:W3CDTF">2008-01-01T07:32:21Z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