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80" windowWidth="21840" windowHeight="11835" firstSheet="4" activeTab="6"/>
  </bookViews>
  <sheets>
    <sheet name="Gangyuan IRR analysis" sheetId="1" r:id="rId1"/>
    <sheet name="Total cost breakdown" sheetId="2" r:id="rId2"/>
    <sheet name="Gangyuan capex sens" sheetId="3" r:id="rId3"/>
    <sheet name="Gangyuan Elec price sens" sheetId="4" r:id="rId4"/>
    <sheet name="Gangyuan O&amp;M cost sens" sheetId="5" r:id="rId5"/>
    <sheet name="Gangyuan hours sens" sheetId="6" r:id="rId6"/>
    <sheet name="Gangyuan coke production sense" sheetId="7" r:id="rId7"/>
  </sheets>
  <externalReferences>
    <externalReference r:id="rId10"/>
  </externalReferences>
  <definedNames>
    <definedName name="solver_adj" localSheetId="6" hidden="1">'Gangyuan coke production sense'!$B$15</definedName>
    <definedName name="solver_cvg" localSheetId="6" hidden="1">0.0001</definedName>
    <definedName name="solver_drv" localSheetId="6" hidden="1">1</definedName>
    <definedName name="solver_est" localSheetId="6" hidden="1">1</definedName>
    <definedName name="solver_itr" localSheetId="6" hidden="1">100</definedName>
    <definedName name="solver_lin" localSheetId="6" hidden="1">2</definedName>
    <definedName name="solver_neg" localSheetId="6" hidden="1">2</definedName>
    <definedName name="solver_num" localSheetId="6" hidden="1">0</definedName>
    <definedName name="solver_nwt" localSheetId="6" hidden="1">1</definedName>
    <definedName name="solver_opt" localSheetId="6" hidden="1">'Gangyuan coke production sense'!$B$33</definedName>
    <definedName name="solver_pre" localSheetId="6" hidden="1">0.000001</definedName>
    <definedName name="solver_scl" localSheetId="6" hidden="1">2</definedName>
    <definedName name="solver_sho" localSheetId="6" hidden="1">2</definedName>
    <definedName name="solver_tim" localSheetId="6" hidden="1">100</definedName>
    <definedName name="solver_tol" localSheetId="6" hidden="1">0.05</definedName>
    <definedName name="solver_typ" localSheetId="6" hidden="1">3</definedName>
    <definedName name="solver_val" localSheetId="6" hidden="1">0.12</definedName>
  </definedNames>
  <calcPr fullCalcOnLoad="1"/>
</workbook>
</file>

<file path=xl/sharedStrings.xml><?xml version="1.0" encoding="utf-8"?>
<sst xmlns="http://schemas.openxmlformats.org/spreadsheetml/2006/main" count="366" uniqueCount="99">
  <si>
    <t>Major repairs</t>
  </si>
  <si>
    <t>Regular maintenance</t>
  </si>
  <si>
    <t>Marketing</t>
  </si>
  <si>
    <t>Insurance</t>
  </si>
  <si>
    <t>Administration</t>
  </si>
  <si>
    <t>Others Fees</t>
  </si>
  <si>
    <t>Others</t>
  </si>
  <si>
    <t>Financial costs</t>
  </si>
  <si>
    <t>Long  term loan interest</t>
  </si>
  <si>
    <t>Working capital loan interest</t>
  </si>
  <si>
    <t>Short term loan interest</t>
  </si>
  <si>
    <t>others</t>
  </si>
  <si>
    <t>The FSR</t>
  </si>
  <si>
    <t>Total costs (incl financial costs)</t>
  </si>
  <si>
    <t>Operating costs (Production costs excl depn)</t>
  </si>
  <si>
    <t>Depreciation (11 year)</t>
  </si>
  <si>
    <t>Total capex change</t>
  </si>
  <si>
    <t>Price change</t>
  </si>
  <si>
    <t>Operating costs</t>
  </si>
  <si>
    <t>operation hours change</t>
  </si>
  <si>
    <t>Total investment</t>
  </si>
  <si>
    <t>O&amp;M costs</t>
  </si>
  <si>
    <t>O&amp;M costs</t>
  </si>
  <si>
    <t xml:space="preserve">Electricity price </t>
  </si>
  <si>
    <t>Operation hour</t>
  </si>
  <si>
    <t>in 10,000 RMB</t>
  </si>
  <si>
    <t>Production cost cross checking</t>
  </si>
  <si>
    <t>Capex cross checking</t>
  </si>
  <si>
    <t>10,000 RMB</t>
  </si>
  <si>
    <t>Project name:</t>
  </si>
  <si>
    <t>Guangyuan</t>
  </si>
  <si>
    <t>Installation Capacity</t>
  </si>
  <si>
    <t>MW</t>
  </si>
  <si>
    <t>Annual electricity output</t>
  </si>
  <si>
    <t>kWh</t>
  </si>
  <si>
    <t>Price sold to the grid (net)</t>
  </si>
  <si>
    <t>RMB</t>
  </si>
  <si>
    <t>Price sold to grid (17% tax)</t>
  </si>
  <si>
    <t>Urban maintenance and construction tax</t>
  </si>
  <si>
    <t>Value added tax</t>
  </si>
  <si>
    <t>Income tax</t>
  </si>
  <si>
    <t>North China Power Grid CEF</t>
  </si>
  <si>
    <t>tCO2e/kWh</t>
  </si>
  <si>
    <t>Annual CER</t>
  </si>
  <si>
    <t>tCO2e</t>
  </si>
  <si>
    <t>CER price</t>
  </si>
  <si>
    <t>Total capex</t>
  </si>
  <si>
    <t>Cash Flow</t>
  </si>
  <si>
    <t>Year</t>
  </si>
  <si>
    <t>Electricity sales revenue</t>
  </si>
  <si>
    <t>Asset recovery</t>
  </si>
  <si>
    <t>Working capital recovery</t>
  </si>
  <si>
    <t>Capital investment</t>
  </si>
  <si>
    <t>Working capital</t>
  </si>
  <si>
    <t>Net revenue</t>
  </si>
  <si>
    <t>Cash flow</t>
  </si>
  <si>
    <t>CER revenue</t>
  </si>
  <si>
    <t>Cash flow with CER revenue</t>
  </si>
  <si>
    <t>IRR with CER revenue</t>
  </si>
  <si>
    <t>IRR</t>
  </si>
  <si>
    <t>Total costs (Inclusive of depreciation)</t>
  </si>
  <si>
    <t>Total Cost Breakdown</t>
  </si>
  <si>
    <t>Items</t>
  </si>
  <si>
    <t>Sub-total</t>
  </si>
  <si>
    <t>2.10</t>
  </si>
  <si>
    <t>Source</t>
  </si>
  <si>
    <t>Project design based on the FSR</t>
  </si>
  <si>
    <t>FSR and Shanxi provincial tax regulations (http://www.sxs-l-tax.gov.cn/modelfun.jsp?classid=72&amp;parentid=52)</t>
  </si>
  <si>
    <t>FSR and Shanxi provincial tax regulations (http://www.sxs-l-tax.gov.cn/modelfun.jsp?classid=57&amp;parentid=52)</t>
  </si>
  <si>
    <t>FSR and Shanxi provincial tax regulations (http://www.sxs-l-tax.gov.cn/modelfun.jsp?classid=78&amp;parentid=52)</t>
  </si>
  <si>
    <t>Official factor published by Chinese DNA (http://cdm.ccchina.gov.cn/)</t>
  </si>
  <si>
    <t>Calculated</t>
  </si>
  <si>
    <t>FSR (Refer to the breakdown of Capex sheet)</t>
  </si>
  <si>
    <t>Level of production</t>
  </si>
  <si>
    <t>Production Cost</t>
  </si>
  <si>
    <t>Fuels</t>
  </si>
  <si>
    <t>Materials</t>
  </si>
  <si>
    <t>Water</t>
  </si>
  <si>
    <t>Labour costs</t>
  </si>
  <si>
    <t>1 Project w/o CDM</t>
  </si>
  <si>
    <t>Cost of import electricity from the
grid for coking  (incl. avoided tax)</t>
  </si>
  <si>
    <t>Cash flow (incl. coking elec. cost)</t>
  </si>
  <si>
    <t>Benchmark</t>
  </si>
  <si>
    <t>NPV (at the benchmark)</t>
  </si>
  <si>
    <t>2 Continued import from grid (Conservative)</t>
  </si>
  <si>
    <t>Income</t>
  </si>
  <si>
    <t>RMB/kWh</t>
  </si>
  <si>
    <t>Tariff from grid(source grid)</t>
  </si>
  <si>
    <t>Shanxi electricity tariff imported from grid (http://www.12358.sx.cn/wjzc/06bjsz077b.htm)</t>
  </si>
  <si>
    <t>Electricity usage</t>
  </si>
  <si>
    <t>kWh/t coke</t>
  </si>
  <si>
    <t>Cleaner production standard for coking industry, HJ/T 126-2003</t>
  </si>
  <si>
    <t>Coke production</t>
  </si>
  <si>
    <t>t/y</t>
  </si>
  <si>
    <t>FSR</t>
  </si>
  <si>
    <r>
      <t>elec output ratio/C</t>
    </r>
    <r>
      <rPr>
        <sz val="10"/>
        <rFont val="Arial"/>
        <family val="2"/>
      </rPr>
      <t>oke prod</t>
    </r>
  </si>
  <si>
    <t>MWh/tn</t>
  </si>
  <si>
    <t>Calculation based on FSR Data</t>
  </si>
  <si>
    <t>coke production change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</si>
</sst>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* #,##0_ ;_ * \-#,##0_ ;_ * &quot;-&quot;_ ;_ @_ "/>
    <numFmt numFmtId="190" formatCode="_ &quot;￥&quot;* #,##0.00_ ;_ &quot;￥&quot;* \-#,##0.00_ ;_ &quot;￥&quot;* &quot;-&quot;??_ ;_ @_ "/>
    <numFmt numFmtId="191" formatCode="_ * #,##0.00_ ;_ * \-#,##0.00_ ;_ * &quot;-&quot;??_ ;_ @_ 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_ "/>
    <numFmt numFmtId="198" formatCode="0_ "/>
    <numFmt numFmtId="199" formatCode="0.0"/>
    <numFmt numFmtId="200" formatCode="0.000"/>
    <numFmt numFmtId="201" formatCode="0.00000"/>
    <numFmt numFmtId="202" formatCode="_ * #,##0.0_ ;_ * \-#,##0.0_ ;_ * &quot;-&quot;??_ ;_ @_ "/>
    <numFmt numFmtId="203" formatCode="_ * #,##0_ ;_ * \-#,##0_ ;_ * &quot;-&quot;??_ ;_ @_ "/>
    <numFmt numFmtId="204" formatCode="#,##0_);[Red]\(#,##0\)"/>
    <numFmt numFmtId="205" formatCode="_-* #,##0_-;\-* #,##0_-;_-* &quot;-&quot;??_-;_-@_-"/>
    <numFmt numFmtId="206" formatCode="#,##0_ "/>
    <numFmt numFmtId="207" formatCode="#,##0.000_ "/>
    <numFmt numFmtId="208" formatCode="_-* #,##0.000_-;\-* #,##0.000_-;_-* &quot;-&quot;???_-;_-@_-"/>
    <numFmt numFmtId="209" formatCode="0.0%"/>
    <numFmt numFmtId="210" formatCode="_-* #,##0.0_-;\-* #,##0.0_-;_-* &quot;-&quot;?_-;_-@_-"/>
  </numFmts>
  <fonts count="45">
    <font>
      <sz val="12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FangSong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F30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34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9" fontId="3" fillId="0" borderId="0" xfId="59" applyFont="1" applyAlignment="1">
      <alignment/>
    </xf>
    <xf numFmtId="192" fontId="3" fillId="35" borderId="0" xfId="59" applyNumberFormat="1" applyFont="1" applyFill="1" applyAlignment="1">
      <alignment/>
    </xf>
    <xf numFmtId="0" fontId="3" fillId="34" borderId="0" xfId="0" applyFont="1" applyFill="1" applyBorder="1" applyAlignment="1">
      <alignment vertical="center"/>
    </xf>
    <xf numFmtId="10" fontId="3" fillId="33" borderId="0" xfId="0" applyNumberFormat="1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198" fontId="3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9" fontId="3" fillId="33" borderId="11" xfId="0" applyNumberFormat="1" applyFont="1" applyFill="1" applyBorder="1" applyAlignment="1">
      <alignment horizontal="center" vertical="center"/>
    </xf>
    <xf numFmtId="10" fontId="3" fillId="33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200" fontId="3" fillId="35" borderId="0" xfId="0" applyNumberFormat="1" applyFont="1" applyFill="1" applyAlignment="1">
      <alignment vertical="center"/>
    </xf>
    <xf numFmtId="200" fontId="3" fillId="0" borderId="0" xfId="0" applyNumberFormat="1" applyFont="1" applyAlignment="1">
      <alignment vertical="center"/>
    </xf>
    <xf numFmtId="203" fontId="3" fillId="34" borderId="0" xfId="42" applyNumberFormat="1" applyFont="1" applyFill="1" applyAlignment="1">
      <alignment vertical="center"/>
    </xf>
    <xf numFmtId="203" fontId="3" fillId="0" borderId="0" xfId="42" applyNumberFormat="1" applyFont="1" applyAlignment="1">
      <alignment vertical="center"/>
    </xf>
    <xf numFmtId="203" fontId="3" fillId="0" borderId="0" xfId="42" applyNumberFormat="1" applyFont="1" applyBorder="1" applyAlignment="1">
      <alignment vertical="center"/>
    </xf>
    <xf numFmtId="203" fontId="3" fillId="34" borderId="0" xfId="42" applyNumberFormat="1" applyFont="1" applyFill="1" applyBorder="1" applyAlignment="1">
      <alignment vertical="center"/>
    </xf>
    <xf numFmtId="203" fontId="4" fillId="0" borderId="0" xfId="42" applyNumberFormat="1" applyFont="1" applyAlignment="1">
      <alignment vertical="center"/>
    </xf>
    <xf numFmtId="203" fontId="3" fillId="33" borderId="0" xfId="42" applyNumberFormat="1" applyFont="1" applyFill="1" applyAlignment="1">
      <alignment vertical="center"/>
    </xf>
    <xf numFmtId="0" fontId="2" fillId="0" borderId="0" xfId="0" applyFont="1" applyBorder="1" applyAlignment="1">
      <alignment/>
    </xf>
    <xf numFmtId="18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/>
    </xf>
    <xf numFmtId="204" fontId="3" fillId="36" borderId="0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right"/>
    </xf>
    <xf numFmtId="205" fontId="3" fillId="36" borderId="0" xfId="0" applyNumberFormat="1" applyFont="1" applyFill="1" applyBorder="1" applyAlignment="1">
      <alignment horizontal="left"/>
    </xf>
    <xf numFmtId="205" fontId="3" fillId="36" borderId="0" xfId="0" applyNumberFormat="1" applyFont="1" applyFill="1" applyBorder="1" applyAlignment="1">
      <alignment/>
    </xf>
    <xf numFmtId="9" fontId="3" fillId="36" borderId="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185" fontId="44" fillId="36" borderId="0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right" vertical="center"/>
    </xf>
    <xf numFmtId="0" fontId="3" fillId="36" borderId="0" xfId="0" applyFont="1" applyFill="1" applyBorder="1" applyAlignment="1">
      <alignment horizontal="left" wrapText="1"/>
    </xf>
    <xf numFmtId="206" fontId="3" fillId="36" borderId="0" xfId="0" applyNumberFormat="1" applyFont="1" applyFill="1" applyBorder="1" applyAlignment="1">
      <alignment/>
    </xf>
    <xf numFmtId="185" fontId="3" fillId="36" borderId="0" xfId="0" applyNumberFormat="1" applyFont="1" applyFill="1" applyBorder="1" applyAlignment="1">
      <alignment/>
    </xf>
    <xf numFmtId="0" fontId="3" fillId="37" borderId="0" xfId="0" applyFont="1" applyFill="1" applyAlignment="1">
      <alignment/>
    </xf>
    <xf numFmtId="206" fontId="3" fillId="37" borderId="0" xfId="0" applyNumberFormat="1" applyFont="1" applyFill="1" applyAlignment="1">
      <alignment/>
    </xf>
    <xf numFmtId="10" fontId="3" fillId="0" borderId="0" xfId="0" applyNumberFormat="1" applyFont="1" applyAlignment="1">
      <alignment vertical="center"/>
    </xf>
    <xf numFmtId="203" fontId="3" fillId="0" borderId="0" xfId="0" applyNumberFormat="1" applyFont="1" applyFill="1" applyAlignment="1">
      <alignment vertical="center"/>
    </xf>
    <xf numFmtId="209" fontId="3" fillId="0" borderId="0" xfId="0" applyNumberFormat="1" applyFont="1" applyBorder="1" applyAlignment="1">
      <alignment/>
    </xf>
    <xf numFmtId="205" fontId="3" fillId="0" borderId="0" xfId="42" applyNumberFormat="1" applyFont="1" applyBorder="1" applyAlignment="1">
      <alignment/>
    </xf>
    <xf numFmtId="10" fontId="3" fillId="38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5"/>
          <c:w val="0.929"/>
          <c:h val="0.968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'Gangyuan coke production sense'!$C$43:$I$43</c:f>
              <c:numCache/>
            </c:numRef>
          </c:cat>
          <c:val>
            <c:numRef>
              <c:f>'Gangyuan coke production sense'!$C$48:$I$48</c:f>
              <c:numCache/>
            </c:numRef>
          </c:val>
          <c:smooth val="0"/>
        </c:ser>
        <c:ser>
          <c:idx val="0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333399"/>
                </a:solidFill>
              </a:ln>
            </c:spPr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ize val="7"/>
              <c:spPr>
                <a:noFill/>
                <a:ln>
                  <a:solidFill>
                    <a:srgbClr val="333399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ize val="7"/>
              <c:spPr>
                <a:noFill/>
                <a:ln>
                  <a:solidFill>
                    <a:srgbClr val="333399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ize val="7"/>
              <c:spPr>
                <a:noFill/>
                <a:ln>
                  <a:solidFill>
                    <a:srgbClr val="333399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star"/>
              <c:size val="9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ize val="7"/>
              <c:spPr>
                <a:noFill/>
                <a:ln>
                  <a:solidFill>
                    <a:srgbClr val="333399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666699"/>
                </a:solidFill>
              </a:ln>
            </c:spPr>
            <c:marker>
              <c:size val="6"/>
              <c:spPr>
                <a:noFill/>
                <a:ln>
                  <a:solidFill>
                    <a:srgbClr val="333399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666699"/>
                </a:solidFill>
              </a:ln>
            </c:spPr>
            <c:marker>
              <c:size val="6"/>
              <c:spPr>
                <a:noFill/>
                <a:ln>
                  <a:solidFill>
                    <a:srgbClr val="333399"/>
                  </a:solidFill>
                </a:ln>
              </c:spPr>
            </c:marker>
          </c:dPt>
          <c:cat>
            <c:numRef>
              <c:f>'Gangyuan coke production sense'!$C$43:$I$43</c:f>
              <c:numCache/>
            </c:numRef>
          </c:cat>
          <c:val>
            <c:numRef>
              <c:f>'Gangyuan coke production sense'!$C$44:$I$44</c:f>
              <c:numCache/>
            </c:numRef>
          </c:val>
          <c:smooth val="0"/>
        </c:ser>
        <c:marker val="1"/>
        <c:axId val="53898999"/>
        <c:axId val="15328944"/>
      </c:lineChart>
      <c:catAx>
        <c:axId val="53898999"/>
        <c:scaling>
          <c:orientation val="minMax"/>
        </c:scaling>
        <c:axPos val="b"/>
        <c:delete val="0"/>
        <c:numFmt formatCode="#,##0;[Red](#,##0)" sourceLinked="0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15328944"/>
        <c:crosses val="autoZero"/>
        <c:auto val="1"/>
        <c:lblOffset val="0"/>
        <c:tickLblSkip val="1"/>
        <c:noMultiLvlLbl val="0"/>
      </c:catAx>
      <c:valAx>
        <c:axId val="15328944"/>
        <c:scaling>
          <c:orientation val="minMax"/>
          <c:min val="0.02400000000000000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98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37</xdr:row>
      <xdr:rowOff>85725</xdr:rowOff>
    </xdr:from>
    <xdr:to>
      <xdr:col>18</xdr:col>
      <xdr:colOff>609600</xdr:colOff>
      <xdr:row>55</xdr:row>
      <xdr:rowOff>171450</xdr:rowOff>
    </xdr:to>
    <xdr:graphicFrame>
      <xdr:nvGraphicFramePr>
        <xdr:cNvPr id="1" name="Chart 3"/>
        <xdr:cNvGraphicFramePr/>
      </xdr:nvGraphicFramePr>
      <xdr:xfrm>
        <a:off x="9315450" y="7200900"/>
        <a:ext cx="56673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ea-beijing\AllUsers\2.%20Old%20Projects\1.%20Under%20review\1.%20Waste%20heat_gas\1.%20Coke\Wanguang%201725\IRR%20calc%20incl%20N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nguang Investment Analysis"/>
      <sheetName val="Total cost breakdown"/>
      <sheetName val="capex sens"/>
      <sheetName val="price sens"/>
      <sheetName val="operation cost sens"/>
      <sheetName val="operation hour sens"/>
      <sheetName val="Coke Production sens"/>
    </sheetNames>
    <sheetDataSet>
      <sheetData sheetId="6">
        <row r="43">
          <cell r="B43">
            <v>320</v>
          </cell>
          <cell r="C43">
            <v>340</v>
          </cell>
          <cell r="D43">
            <v>378</v>
          </cell>
          <cell r="E43">
            <v>380</v>
          </cell>
          <cell r="F43">
            <v>400</v>
          </cell>
          <cell r="G43">
            <v>420</v>
          </cell>
          <cell r="H43">
            <v>440</v>
          </cell>
          <cell r="I43">
            <v>460</v>
          </cell>
          <cell r="J43">
            <v>504</v>
          </cell>
        </row>
        <row r="44">
          <cell r="C44">
            <v>0.0553</v>
          </cell>
          <cell r="D44">
            <v>0.0675</v>
          </cell>
          <cell r="E44">
            <v>0.0793</v>
          </cell>
          <cell r="F44">
            <v>0.0908</v>
          </cell>
          <cell r="G44">
            <v>0.10220000000000001</v>
          </cell>
          <cell r="H44">
            <v>0.11349999999999999</v>
          </cell>
          <cell r="I44">
            <v>0.1246</v>
          </cell>
        </row>
        <row r="48">
          <cell r="C48">
            <v>0.1200009141611697</v>
          </cell>
          <cell r="D48">
            <v>0.1200009141611697</v>
          </cell>
          <cell r="E48">
            <v>0.1200009141611697</v>
          </cell>
          <cell r="F48">
            <v>0.1200009141611697</v>
          </cell>
          <cell r="G48">
            <v>0.1200009141611697</v>
          </cell>
          <cell r="H48">
            <v>0.1200009141611697</v>
          </cell>
          <cell r="I48">
            <v>0.1200009141611697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zoomScalePageLayoutView="0" workbookViewId="0" topLeftCell="A10">
      <selection activeCell="B15" sqref="B15"/>
    </sheetView>
  </sheetViews>
  <sheetFormatPr defaultColWidth="7.625" defaultRowHeight="14.25"/>
  <cols>
    <col min="1" max="1" width="24.75390625" style="2" customWidth="1"/>
    <col min="2" max="2" width="15.625" style="2" customWidth="1"/>
    <col min="3" max="3" width="14.625" style="2" customWidth="1"/>
    <col min="4" max="4" width="17.125" style="2" customWidth="1"/>
    <col min="5" max="5" width="13.625" style="2" customWidth="1"/>
    <col min="6" max="6" width="12.625" style="2" customWidth="1"/>
    <col min="7" max="22" width="12.00390625" style="2" customWidth="1"/>
    <col min="23" max="26" width="7.625" style="2" customWidth="1"/>
    <col min="27" max="16384" width="7.625" style="7" customWidth="1"/>
  </cols>
  <sheetData>
    <row r="1" spans="1:6" ht="34.5" customHeight="1">
      <c r="A1" s="1" t="s">
        <v>29</v>
      </c>
      <c r="B1" s="6" t="s">
        <v>30</v>
      </c>
      <c r="D1" s="2" t="s">
        <v>65</v>
      </c>
      <c r="F1" s="1"/>
    </row>
    <row r="2" spans="1:6" ht="12.75">
      <c r="A2" s="2" t="s">
        <v>31</v>
      </c>
      <c r="B2" s="8">
        <v>30</v>
      </c>
      <c r="C2" s="2" t="s">
        <v>32</v>
      </c>
      <c r="D2" s="2" t="s">
        <v>66</v>
      </c>
      <c r="F2" s="1"/>
    </row>
    <row r="3" spans="1:6" ht="12.75">
      <c r="A3" s="2" t="s">
        <v>33</v>
      </c>
      <c r="B3" s="24">
        <v>189000000</v>
      </c>
      <c r="C3" s="2" t="s">
        <v>34</v>
      </c>
      <c r="D3" s="2" t="s">
        <v>66</v>
      </c>
      <c r="F3" s="1"/>
    </row>
    <row r="4" spans="1:4" ht="12.75">
      <c r="A4" s="2" t="s">
        <v>35</v>
      </c>
      <c r="B4" s="9">
        <v>0.195</v>
      </c>
      <c r="C4" s="2" t="s">
        <v>36</v>
      </c>
      <c r="D4" s="2" t="s">
        <v>12</v>
      </c>
    </row>
    <row r="5" spans="1:4" ht="12.75">
      <c r="A5" s="2" t="s">
        <v>37</v>
      </c>
      <c r="B5" s="22">
        <f>B4*1.17</f>
        <v>0.22815</v>
      </c>
      <c r="C5" s="2" t="s">
        <v>36</v>
      </c>
      <c r="D5" s="2" t="s">
        <v>12</v>
      </c>
    </row>
    <row r="6" spans="1:4" ht="12.75">
      <c r="A6" s="2" t="s">
        <v>38</v>
      </c>
      <c r="B6" s="10">
        <v>0.08</v>
      </c>
      <c r="D6" s="2" t="s">
        <v>67</v>
      </c>
    </row>
    <row r="7" spans="1:4" ht="12.75">
      <c r="A7" s="2" t="s">
        <v>39</v>
      </c>
      <c r="B7" s="10">
        <v>0.17</v>
      </c>
      <c r="D7" s="2" t="s">
        <v>68</v>
      </c>
    </row>
    <row r="8" spans="1:4" ht="12.75">
      <c r="A8" s="2" t="s">
        <v>40</v>
      </c>
      <c r="B8" s="10">
        <v>0.33</v>
      </c>
      <c r="D8" s="2" t="s">
        <v>69</v>
      </c>
    </row>
    <row r="9" spans="1:4" ht="12.75">
      <c r="A9" s="2" t="s">
        <v>41</v>
      </c>
      <c r="B9" s="11">
        <v>0.9812</v>
      </c>
      <c r="C9" s="2" t="s">
        <v>42</v>
      </c>
      <c r="D9" s="2" t="s">
        <v>70</v>
      </c>
    </row>
    <row r="10" spans="1:4" ht="12.75">
      <c r="A10" s="2" t="s">
        <v>43</v>
      </c>
      <c r="B10" s="25">
        <f>B3*B9/1000</f>
        <v>185446.8</v>
      </c>
      <c r="C10" s="2" t="s">
        <v>44</v>
      </c>
      <c r="D10" s="2" t="s">
        <v>71</v>
      </c>
    </row>
    <row r="11" spans="1:3" ht="12.75">
      <c r="A11" s="2" t="s">
        <v>45</v>
      </c>
      <c r="B11" s="8">
        <v>80</v>
      </c>
      <c r="C11" s="2" t="s">
        <v>36</v>
      </c>
    </row>
    <row r="12" spans="1:4" ht="12.75">
      <c r="A12" s="2" t="s">
        <v>46</v>
      </c>
      <c r="B12" s="24">
        <f>B23+C23</f>
        <v>162460000</v>
      </c>
      <c r="C12" s="2" t="s">
        <v>36</v>
      </c>
      <c r="D12" s="17" t="s">
        <v>66</v>
      </c>
    </row>
    <row r="13" spans="1:4" ht="12.75">
      <c r="A13" s="2" t="s">
        <v>87</v>
      </c>
      <c r="B13" s="46">
        <f>0.506</f>
        <v>0.506</v>
      </c>
      <c r="C13" s="2" t="s">
        <v>86</v>
      </c>
      <c r="D13" s="17" t="s">
        <v>88</v>
      </c>
    </row>
    <row r="14" spans="1:4" ht="12.75">
      <c r="A14" s="2" t="s">
        <v>89</v>
      </c>
      <c r="B14" s="46">
        <v>35</v>
      </c>
      <c r="C14" s="2" t="s">
        <v>90</v>
      </c>
      <c r="D14" s="17" t="s">
        <v>91</v>
      </c>
    </row>
    <row r="15" spans="1:4" ht="12.75">
      <c r="A15" s="2" t="s">
        <v>92</v>
      </c>
      <c r="B15" s="47">
        <v>600000</v>
      </c>
      <c r="C15" s="2" t="s">
        <v>93</v>
      </c>
      <c r="D15" s="17" t="s">
        <v>94</v>
      </c>
    </row>
    <row r="17" ht="12.75">
      <c r="A17" s="1" t="s">
        <v>47</v>
      </c>
    </row>
    <row r="18" spans="1:22" ht="24" customHeight="1">
      <c r="A18" s="3" t="s">
        <v>48</v>
      </c>
      <c r="B18" s="3">
        <v>1</v>
      </c>
      <c r="C18" s="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3">
        <v>8</v>
      </c>
      <c r="J18" s="3">
        <v>9</v>
      </c>
      <c r="K18" s="3">
        <v>10</v>
      </c>
      <c r="L18" s="3">
        <v>11</v>
      </c>
      <c r="M18" s="3">
        <v>12</v>
      </c>
      <c r="N18" s="3">
        <v>13</v>
      </c>
      <c r="O18" s="3">
        <v>14</v>
      </c>
      <c r="P18" s="3">
        <v>15</v>
      </c>
      <c r="Q18" s="3">
        <v>16</v>
      </c>
      <c r="R18" s="3">
        <v>17</v>
      </c>
      <c r="S18" s="3">
        <v>18</v>
      </c>
      <c r="T18" s="3">
        <v>19</v>
      </c>
      <c r="U18" s="3">
        <v>20</v>
      </c>
      <c r="V18" s="3">
        <v>21</v>
      </c>
    </row>
    <row r="19" spans="1:26" s="28" customFormat="1" ht="22.5">
      <c r="A19" s="26" t="s">
        <v>49</v>
      </c>
      <c r="B19" s="27"/>
      <c r="C19" s="27">
        <f>D19*669/3686</f>
        <v>6689092.512208356</v>
      </c>
      <c r="D19" s="27">
        <f>B3*B4</f>
        <v>36855000</v>
      </c>
      <c r="E19" s="27">
        <f aca="true" t="shared" si="0" ref="E19:V19">D19</f>
        <v>36855000</v>
      </c>
      <c r="F19" s="27">
        <f t="shared" si="0"/>
        <v>36855000</v>
      </c>
      <c r="G19" s="27">
        <f t="shared" si="0"/>
        <v>36855000</v>
      </c>
      <c r="H19" s="27">
        <f t="shared" si="0"/>
        <v>36855000</v>
      </c>
      <c r="I19" s="27">
        <f t="shared" si="0"/>
        <v>36855000</v>
      </c>
      <c r="J19" s="27">
        <f t="shared" si="0"/>
        <v>36855000</v>
      </c>
      <c r="K19" s="27">
        <f t="shared" si="0"/>
        <v>36855000</v>
      </c>
      <c r="L19" s="27">
        <f t="shared" si="0"/>
        <v>36855000</v>
      </c>
      <c r="M19" s="27">
        <f t="shared" si="0"/>
        <v>36855000</v>
      </c>
      <c r="N19" s="27">
        <f t="shared" si="0"/>
        <v>36855000</v>
      </c>
      <c r="O19" s="27">
        <f t="shared" si="0"/>
        <v>36855000</v>
      </c>
      <c r="P19" s="27">
        <f t="shared" si="0"/>
        <v>36855000</v>
      </c>
      <c r="Q19" s="27">
        <f t="shared" si="0"/>
        <v>36855000</v>
      </c>
      <c r="R19" s="27">
        <f t="shared" si="0"/>
        <v>36855000</v>
      </c>
      <c r="S19" s="27">
        <f t="shared" si="0"/>
        <v>36855000</v>
      </c>
      <c r="T19" s="27">
        <f t="shared" si="0"/>
        <v>36855000</v>
      </c>
      <c r="U19" s="27">
        <f t="shared" si="0"/>
        <v>36855000</v>
      </c>
      <c r="V19" s="27">
        <f t="shared" si="0"/>
        <v>36855000</v>
      </c>
      <c r="W19" s="25"/>
      <c r="X19" s="25"/>
      <c r="Y19" s="25"/>
      <c r="Z19" s="25"/>
    </row>
    <row r="20" spans="1:26" s="28" customFormat="1" ht="22.5">
      <c r="A20" s="25" t="s">
        <v>50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>
        <v>5170000</v>
      </c>
      <c r="W20" s="25"/>
      <c r="X20" s="25"/>
      <c r="Y20" s="25"/>
      <c r="Z20" s="25"/>
    </row>
    <row r="21" spans="1:26" s="28" customFormat="1" ht="12.75">
      <c r="A21" s="25" t="s">
        <v>51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>
        <v>1780000</v>
      </c>
      <c r="W21" s="25"/>
      <c r="X21" s="25"/>
      <c r="Y21" s="25"/>
      <c r="Z21" s="25"/>
    </row>
    <row r="22" spans="1:26" s="28" customFormat="1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s="28" customFormat="1" ht="22.5">
      <c r="A23" s="25" t="s">
        <v>52</v>
      </c>
      <c r="B23" s="24">
        <v>56860000</v>
      </c>
      <c r="C23" s="24">
        <v>105600000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s="28" customFormat="1" ht="12.75">
      <c r="A24" s="25" t="s">
        <v>53</v>
      </c>
      <c r="B24" s="24">
        <v>980000</v>
      </c>
      <c r="C24" s="24">
        <v>810000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28" customFormat="1" ht="12.75">
      <c r="A25" s="25" t="s">
        <v>22</v>
      </c>
      <c r="B25" s="25"/>
      <c r="C25" s="24">
        <f>6520000</f>
        <v>6520000</v>
      </c>
      <c r="D25" s="24">
        <f>14320000</f>
        <v>14320000</v>
      </c>
      <c r="E25" s="24">
        <f aca="true" t="shared" si="1" ref="E25:U25">D25</f>
        <v>14320000</v>
      </c>
      <c r="F25" s="24">
        <f t="shared" si="1"/>
        <v>14320000</v>
      </c>
      <c r="G25" s="24">
        <f t="shared" si="1"/>
        <v>14320000</v>
      </c>
      <c r="H25" s="24">
        <f t="shared" si="1"/>
        <v>14320000</v>
      </c>
      <c r="I25" s="24">
        <f t="shared" si="1"/>
        <v>14320000</v>
      </c>
      <c r="J25" s="24">
        <f t="shared" si="1"/>
        <v>14320000</v>
      </c>
      <c r="K25" s="24">
        <f t="shared" si="1"/>
        <v>14320000</v>
      </c>
      <c r="L25" s="24">
        <f t="shared" si="1"/>
        <v>14320000</v>
      </c>
      <c r="M25" s="24">
        <f t="shared" si="1"/>
        <v>14320000</v>
      </c>
      <c r="N25" s="24">
        <f t="shared" si="1"/>
        <v>14320000</v>
      </c>
      <c r="O25" s="24">
        <f t="shared" si="1"/>
        <v>14320000</v>
      </c>
      <c r="P25" s="24">
        <f t="shared" si="1"/>
        <v>14320000</v>
      </c>
      <c r="Q25" s="24">
        <f t="shared" si="1"/>
        <v>14320000</v>
      </c>
      <c r="R25" s="24">
        <f t="shared" si="1"/>
        <v>14320000</v>
      </c>
      <c r="S25" s="24">
        <f t="shared" si="1"/>
        <v>14320000</v>
      </c>
      <c r="T25" s="24">
        <f t="shared" si="1"/>
        <v>14320000</v>
      </c>
      <c r="U25" s="24">
        <f t="shared" si="1"/>
        <v>14320000</v>
      </c>
      <c r="V25" s="24">
        <f>U25</f>
        <v>14320000</v>
      </c>
      <c r="W25" s="25"/>
      <c r="X25" s="25"/>
      <c r="Y25" s="25"/>
      <c r="Z25" s="25"/>
    </row>
    <row r="26" spans="1:26" s="28" customFormat="1" ht="12.75">
      <c r="A26" s="25" t="s">
        <v>38</v>
      </c>
      <c r="B26" s="25"/>
      <c r="C26" s="25">
        <f>C19*B6*B7</f>
        <v>90971.65816603364</v>
      </c>
      <c r="D26" s="25">
        <f>D19*$B7*$B6</f>
        <v>501228</v>
      </c>
      <c r="E26" s="25">
        <f>E19*$B7*$B6</f>
        <v>501228</v>
      </c>
      <c r="F26" s="25">
        <f aca="true" t="shared" si="2" ref="F26:U26">F19*$B7*$B6</f>
        <v>501228</v>
      </c>
      <c r="G26" s="25">
        <f t="shared" si="2"/>
        <v>501228</v>
      </c>
      <c r="H26" s="25">
        <f t="shared" si="2"/>
        <v>501228</v>
      </c>
      <c r="I26" s="25">
        <f t="shared" si="2"/>
        <v>501228</v>
      </c>
      <c r="J26" s="25">
        <f t="shared" si="2"/>
        <v>501228</v>
      </c>
      <c r="K26" s="25">
        <f t="shared" si="2"/>
        <v>501228</v>
      </c>
      <c r="L26" s="25">
        <f t="shared" si="2"/>
        <v>501228</v>
      </c>
      <c r="M26" s="25">
        <f t="shared" si="2"/>
        <v>501228</v>
      </c>
      <c r="N26" s="25">
        <f t="shared" si="2"/>
        <v>501228</v>
      </c>
      <c r="O26" s="25">
        <f t="shared" si="2"/>
        <v>501228</v>
      </c>
      <c r="P26" s="25">
        <f t="shared" si="2"/>
        <v>501228</v>
      </c>
      <c r="Q26" s="25">
        <f t="shared" si="2"/>
        <v>501228</v>
      </c>
      <c r="R26" s="25">
        <f t="shared" si="2"/>
        <v>501228</v>
      </c>
      <c r="S26" s="25">
        <f t="shared" si="2"/>
        <v>501228</v>
      </c>
      <c r="T26" s="25">
        <f t="shared" si="2"/>
        <v>501228</v>
      </c>
      <c r="U26" s="25">
        <f t="shared" si="2"/>
        <v>501228</v>
      </c>
      <c r="V26" s="25">
        <f>V19*$B7*$B6</f>
        <v>501228</v>
      </c>
      <c r="W26" s="25"/>
      <c r="X26" s="25"/>
      <c r="Y26" s="25"/>
      <c r="Z26" s="25"/>
    </row>
    <row r="27" spans="1:26" s="28" customFormat="1" ht="12.75">
      <c r="A27" s="29" t="s">
        <v>60</v>
      </c>
      <c r="B27" s="25"/>
      <c r="C27" s="24">
        <f>'Total cost breakdown'!E24*10000</f>
        <v>9770000</v>
      </c>
      <c r="D27" s="24">
        <f>'Total cost breakdown'!F24*10000</f>
        <v>36080000</v>
      </c>
      <c r="E27" s="24">
        <f>'Total cost breakdown'!G24*10000</f>
        <v>35250000</v>
      </c>
      <c r="F27" s="24">
        <f>'Total cost breakdown'!H24*10000</f>
        <v>34310000</v>
      </c>
      <c r="G27" s="24">
        <f>'Total cost breakdown'!I24*10000</f>
        <v>33290000</v>
      </c>
      <c r="H27" s="24">
        <f>'Total cost breakdown'!J24*10000</f>
        <v>32300000</v>
      </c>
      <c r="I27" s="24">
        <f>'Total cost breakdown'!K24*10000</f>
        <v>31250000</v>
      </c>
      <c r="J27" s="24">
        <f>'Total cost breakdown'!L24*10000</f>
        <v>30120000</v>
      </c>
      <c r="K27" s="24">
        <f>'Total cost breakdown'!M24*10000</f>
        <v>30120000</v>
      </c>
      <c r="L27" s="24">
        <f>'Total cost breakdown'!N24*10000</f>
        <v>30120000</v>
      </c>
      <c r="M27" s="24">
        <f>'Total cost breakdown'!O24*10000</f>
        <v>27260000</v>
      </c>
      <c r="N27" s="24">
        <f>'Total cost breakdown'!P24*10000</f>
        <v>14390000</v>
      </c>
      <c r="O27" s="24">
        <f>'Total cost breakdown'!Q24*10000</f>
        <v>14390000</v>
      </c>
      <c r="P27" s="24">
        <f>'Total cost breakdown'!R24*10000</f>
        <v>14390000</v>
      </c>
      <c r="Q27" s="24">
        <f>'Total cost breakdown'!S24*10000</f>
        <v>14390000</v>
      </c>
      <c r="R27" s="24">
        <f>'Total cost breakdown'!T24*10000</f>
        <v>14390000</v>
      </c>
      <c r="S27" s="24">
        <f>'Total cost breakdown'!U24*10000</f>
        <v>14390000</v>
      </c>
      <c r="T27" s="24">
        <f>'Total cost breakdown'!V24*10000</f>
        <v>14390000</v>
      </c>
      <c r="U27" s="24">
        <f>'Total cost breakdown'!W24*10000</f>
        <v>14390000</v>
      </c>
      <c r="V27" s="24">
        <f>'Total cost breakdown'!X24*10000</f>
        <v>14390000</v>
      </c>
      <c r="W27" s="25"/>
      <c r="X27" s="25"/>
      <c r="Y27" s="25"/>
      <c r="Z27" s="25"/>
    </row>
    <row r="28" spans="1:26" s="28" customFormat="1" ht="12.75">
      <c r="A28" s="25" t="s">
        <v>54</v>
      </c>
      <c r="B28" s="25"/>
      <c r="C28" s="25">
        <f aca="true" t="shared" si="3" ref="C28:U28">C19-C26-C27</f>
        <v>-3171879.1459576776</v>
      </c>
      <c r="D28" s="25">
        <f t="shared" si="3"/>
        <v>273772</v>
      </c>
      <c r="E28" s="25">
        <f t="shared" si="3"/>
        <v>1103772</v>
      </c>
      <c r="F28" s="25">
        <f t="shared" si="3"/>
        <v>2043772</v>
      </c>
      <c r="G28" s="25">
        <f t="shared" si="3"/>
        <v>3063772</v>
      </c>
      <c r="H28" s="25">
        <f t="shared" si="3"/>
        <v>4053772</v>
      </c>
      <c r="I28" s="25">
        <f t="shared" si="3"/>
        <v>5103772</v>
      </c>
      <c r="J28" s="25">
        <f t="shared" si="3"/>
        <v>6233772</v>
      </c>
      <c r="K28" s="25">
        <f t="shared" si="3"/>
        <v>6233772</v>
      </c>
      <c r="L28" s="25">
        <f t="shared" si="3"/>
        <v>6233772</v>
      </c>
      <c r="M28" s="25">
        <f t="shared" si="3"/>
        <v>9093772</v>
      </c>
      <c r="N28" s="25">
        <f t="shared" si="3"/>
        <v>21963772</v>
      </c>
      <c r="O28" s="25">
        <f t="shared" si="3"/>
        <v>21963772</v>
      </c>
      <c r="P28" s="25">
        <f t="shared" si="3"/>
        <v>21963772</v>
      </c>
      <c r="Q28" s="25">
        <f t="shared" si="3"/>
        <v>21963772</v>
      </c>
      <c r="R28" s="25">
        <f t="shared" si="3"/>
        <v>21963772</v>
      </c>
      <c r="S28" s="25">
        <f t="shared" si="3"/>
        <v>21963772</v>
      </c>
      <c r="T28" s="25">
        <f t="shared" si="3"/>
        <v>21963772</v>
      </c>
      <c r="U28" s="25">
        <f t="shared" si="3"/>
        <v>21963772</v>
      </c>
      <c r="V28" s="25">
        <f>V19+V20+V21-V26-V27</f>
        <v>28913772</v>
      </c>
      <c r="W28" s="25"/>
      <c r="X28" s="25"/>
      <c r="Y28" s="25"/>
      <c r="Z28" s="25"/>
    </row>
    <row r="29" spans="1:26" s="28" customFormat="1" ht="12.75">
      <c r="A29" s="25" t="s">
        <v>40</v>
      </c>
      <c r="B29" s="25"/>
      <c r="C29" s="25"/>
      <c r="D29" s="25">
        <f>D28*B8</f>
        <v>90344.76000000001</v>
      </c>
      <c r="E29" s="25">
        <f>E28*B8</f>
        <v>364244.76</v>
      </c>
      <c r="F29" s="25">
        <f>F28*B8</f>
        <v>674444.76</v>
      </c>
      <c r="G29" s="25">
        <f>G28*B8</f>
        <v>1011044.76</v>
      </c>
      <c r="H29" s="25">
        <f>H28*B8</f>
        <v>1337744.76</v>
      </c>
      <c r="I29" s="25">
        <f>I28*B8</f>
        <v>1684244.76</v>
      </c>
      <c r="J29" s="25">
        <f>J28*B8</f>
        <v>2057144.76</v>
      </c>
      <c r="K29" s="25">
        <f>K28*B8</f>
        <v>2057144.76</v>
      </c>
      <c r="L29" s="25">
        <f>L28*B8</f>
        <v>2057144.76</v>
      </c>
      <c r="M29" s="25">
        <f>M28*B8</f>
        <v>3000944.7600000002</v>
      </c>
      <c r="N29" s="25">
        <f>N28*B8</f>
        <v>7248044.760000001</v>
      </c>
      <c r="O29" s="25">
        <f>O28*B8</f>
        <v>7248044.760000001</v>
      </c>
      <c r="P29" s="25">
        <f>P28*B8</f>
        <v>7248044.760000001</v>
      </c>
      <c r="Q29" s="25">
        <f>Q28*B8</f>
        <v>7248044.760000001</v>
      </c>
      <c r="R29" s="25">
        <f>R28*B8</f>
        <v>7248044.760000001</v>
      </c>
      <c r="S29" s="25">
        <f>S28*B8</f>
        <v>7248044.760000001</v>
      </c>
      <c r="T29" s="25">
        <f>T28*B8</f>
        <v>7248044.760000001</v>
      </c>
      <c r="U29" s="25">
        <f>U28*B8</f>
        <v>7248044.760000001</v>
      </c>
      <c r="V29" s="25">
        <f>V28*B8</f>
        <v>9541544.76</v>
      </c>
      <c r="W29" s="25"/>
      <c r="X29" s="25"/>
      <c r="Y29" s="25"/>
      <c r="Z29" s="25"/>
    </row>
    <row r="30" spans="1:26" s="28" customFormat="1" ht="22.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s="28" customFormat="1" ht="12.75">
      <c r="A31" s="25" t="s">
        <v>55</v>
      </c>
      <c r="B31" s="25">
        <f>0-B23-B24</f>
        <v>-57840000</v>
      </c>
      <c r="C31" s="25">
        <f>C19-C23-C24-C25-C26-C29</f>
        <v>-106331879.14595768</v>
      </c>
      <c r="D31" s="25">
        <f aca="true" t="shared" si="4" ref="D31:U31">D19-D25-D26-D29</f>
        <v>21943427.24</v>
      </c>
      <c r="E31" s="25">
        <f t="shared" si="4"/>
        <v>21669527.24</v>
      </c>
      <c r="F31" s="25">
        <f t="shared" si="4"/>
        <v>21359327.24</v>
      </c>
      <c r="G31" s="25">
        <f t="shared" si="4"/>
        <v>21022727.24</v>
      </c>
      <c r="H31" s="25">
        <f t="shared" si="4"/>
        <v>20696027.24</v>
      </c>
      <c r="I31" s="25">
        <f t="shared" si="4"/>
        <v>20349527.24</v>
      </c>
      <c r="J31" s="25">
        <f t="shared" si="4"/>
        <v>19976627.24</v>
      </c>
      <c r="K31" s="25">
        <f t="shared" si="4"/>
        <v>19976627.24</v>
      </c>
      <c r="L31" s="25">
        <f t="shared" si="4"/>
        <v>19976627.24</v>
      </c>
      <c r="M31" s="25">
        <f t="shared" si="4"/>
        <v>19032827.24</v>
      </c>
      <c r="N31" s="25">
        <f t="shared" si="4"/>
        <v>14785727.239999998</v>
      </c>
      <c r="O31" s="25">
        <f t="shared" si="4"/>
        <v>14785727.239999998</v>
      </c>
      <c r="P31" s="25">
        <f t="shared" si="4"/>
        <v>14785727.239999998</v>
      </c>
      <c r="Q31" s="25">
        <f t="shared" si="4"/>
        <v>14785727.239999998</v>
      </c>
      <c r="R31" s="25">
        <f t="shared" si="4"/>
        <v>14785727.239999998</v>
      </c>
      <c r="S31" s="25">
        <f t="shared" si="4"/>
        <v>14785727.239999998</v>
      </c>
      <c r="T31" s="25">
        <f t="shared" si="4"/>
        <v>14785727.239999998</v>
      </c>
      <c r="U31" s="25">
        <f t="shared" si="4"/>
        <v>14785727.239999998</v>
      </c>
      <c r="V31" s="25">
        <f>V19+V20+V21-V25-V26-V29</f>
        <v>19442227.240000002</v>
      </c>
      <c r="W31" s="25"/>
      <c r="X31" s="25"/>
      <c r="Y31" s="25"/>
      <c r="Z31" s="25"/>
    </row>
    <row r="32" spans="1:2" ht="12.75">
      <c r="A32" s="5" t="s">
        <v>59</v>
      </c>
      <c r="B32" s="13">
        <f>IRR(B31:V31)</f>
        <v>0.09221504867008422</v>
      </c>
    </row>
    <row r="33" spans="1:26" s="28" customFormat="1" ht="12.75">
      <c r="A33" s="25" t="s">
        <v>56</v>
      </c>
      <c r="B33" s="25"/>
      <c r="C33" s="25"/>
      <c r="D33" s="25">
        <f>B10*B11</f>
        <v>14835744</v>
      </c>
      <c r="E33" s="25">
        <f aca="true" t="shared" si="5" ref="E33:J33">D33</f>
        <v>14835744</v>
      </c>
      <c r="F33" s="25">
        <f t="shared" si="5"/>
        <v>14835744</v>
      </c>
      <c r="G33" s="25">
        <f t="shared" si="5"/>
        <v>14835744</v>
      </c>
      <c r="H33" s="25">
        <f t="shared" si="5"/>
        <v>14835744</v>
      </c>
      <c r="I33" s="25">
        <f t="shared" si="5"/>
        <v>14835744</v>
      </c>
      <c r="J33" s="25">
        <f t="shared" si="5"/>
        <v>14835744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s="28" customFormat="1" ht="12.75">
      <c r="A34" s="25" t="s">
        <v>57</v>
      </c>
      <c r="B34" s="25">
        <f aca="true" t="shared" si="6" ref="B34:V34">B31+B33</f>
        <v>-57840000</v>
      </c>
      <c r="C34" s="25">
        <f t="shared" si="6"/>
        <v>-106331879.14595768</v>
      </c>
      <c r="D34" s="25">
        <f t="shared" si="6"/>
        <v>36779171.239999995</v>
      </c>
      <c r="E34" s="25">
        <f t="shared" si="6"/>
        <v>36505271.239999995</v>
      </c>
      <c r="F34" s="25">
        <f t="shared" si="6"/>
        <v>36195071.239999995</v>
      </c>
      <c r="G34" s="25">
        <f t="shared" si="6"/>
        <v>35858471.239999995</v>
      </c>
      <c r="H34" s="25">
        <f t="shared" si="6"/>
        <v>35531771.239999995</v>
      </c>
      <c r="I34" s="25">
        <f t="shared" si="6"/>
        <v>35185271.239999995</v>
      </c>
      <c r="J34" s="25">
        <f t="shared" si="6"/>
        <v>34812371.239999995</v>
      </c>
      <c r="K34" s="25">
        <f t="shared" si="6"/>
        <v>19976627.24</v>
      </c>
      <c r="L34" s="25">
        <f t="shared" si="6"/>
        <v>19976627.24</v>
      </c>
      <c r="M34" s="25">
        <f t="shared" si="6"/>
        <v>19032827.24</v>
      </c>
      <c r="N34" s="25">
        <f t="shared" si="6"/>
        <v>14785727.239999998</v>
      </c>
      <c r="O34" s="25">
        <f t="shared" si="6"/>
        <v>14785727.239999998</v>
      </c>
      <c r="P34" s="25">
        <f t="shared" si="6"/>
        <v>14785727.239999998</v>
      </c>
      <c r="Q34" s="25">
        <f t="shared" si="6"/>
        <v>14785727.239999998</v>
      </c>
      <c r="R34" s="25">
        <f t="shared" si="6"/>
        <v>14785727.239999998</v>
      </c>
      <c r="S34" s="25">
        <f t="shared" si="6"/>
        <v>14785727.239999998</v>
      </c>
      <c r="T34" s="25">
        <f t="shared" si="6"/>
        <v>14785727.239999998</v>
      </c>
      <c r="U34" s="25">
        <f t="shared" si="6"/>
        <v>14785727.239999998</v>
      </c>
      <c r="V34" s="25">
        <f t="shared" si="6"/>
        <v>19442227.240000002</v>
      </c>
      <c r="W34" s="25"/>
      <c r="X34" s="25"/>
      <c r="Y34" s="25"/>
      <c r="Z34" s="25"/>
    </row>
    <row r="35" spans="1:2" ht="12.75">
      <c r="A35" s="5" t="s">
        <v>58</v>
      </c>
      <c r="B35" s="13">
        <f>IRR(B34:V34)</f>
        <v>0.16442392980071174</v>
      </c>
    </row>
    <row r="39" spans="2:6" ht="12.75">
      <c r="B39" s="18" t="s">
        <v>59</v>
      </c>
      <c r="C39" s="18" t="s">
        <v>20</v>
      </c>
      <c r="D39" s="18" t="s">
        <v>23</v>
      </c>
      <c r="E39" s="18" t="s">
        <v>24</v>
      </c>
      <c r="F39" s="18" t="s">
        <v>21</v>
      </c>
    </row>
    <row r="40" spans="2:6" ht="12.75">
      <c r="B40" s="19">
        <v>0.12</v>
      </c>
      <c r="C40" s="20">
        <f>'Gangyuan capex sens'!$B$34</f>
        <v>-0.1680162758039587</v>
      </c>
      <c r="D40" s="20">
        <f>'Gangyuan Elec price sens'!$B$34</f>
        <v>0.1461635926755451</v>
      </c>
      <c r="E40" s="20">
        <f>'Gangyuan hours sens'!$B$34</f>
        <v>0.1461635926755449</v>
      </c>
      <c r="F40" s="20">
        <f>'Gangyuan O&amp;M cost sens'!$B$34</f>
        <v>-0.25862208640258655</v>
      </c>
    </row>
    <row r="42" spans="1:22" ht="17.25" customHeight="1">
      <c r="A42" s="30" t="s">
        <v>79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</row>
    <row r="43" spans="1:22" ht="30.75" customHeight="1">
      <c r="A43" s="33" t="s">
        <v>80</v>
      </c>
      <c r="B43" s="34">
        <f>0</f>
        <v>0</v>
      </c>
      <c r="C43" s="35">
        <f>($B$13*$B$14*$B$15)-(($B$13*$B$14*$B$15)*$B$8)</f>
        <v>7119420</v>
      </c>
      <c r="D43" s="35">
        <f>C43</f>
        <v>7119420</v>
      </c>
      <c r="E43" s="35">
        <f aca="true" t="shared" si="7" ref="E43:V43">D43</f>
        <v>7119420</v>
      </c>
      <c r="F43" s="35">
        <f t="shared" si="7"/>
        <v>7119420</v>
      </c>
      <c r="G43" s="35">
        <f t="shared" si="7"/>
        <v>7119420</v>
      </c>
      <c r="H43" s="35">
        <f t="shared" si="7"/>
        <v>7119420</v>
      </c>
      <c r="I43" s="35">
        <f t="shared" si="7"/>
        <v>7119420</v>
      </c>
      <c r="J43" s="35">
        <f t="shared" si="7"/>
        <v>7119420</v>
      </c>
      <c r="K43" s="35">
        <f t="shared" si="7"/>
        <v>7119420</v>
      </c>
      <c r="L43" s="35">
        <f t="shared" si="7"/>
        <v>7119420</v>
      </c>
      <c r="M43" s="35">
        <f t="shared" si="7"/>
        <v>7119420</v>
      </c>
      <c r="N43" s="35">
        <f t="shared" si="7"/>
        <v>7119420</v>
      </c>
      <c r="O43" s="35">
        <f t="shared" si="7"/>
        <v>7119420</v>
      </c>
      <c r="P43" s="35">
        <f t="shared" si="7"/>
        <v>7119420</v>
      </c>
      <c r="Q43" s="35">
        <f t="shared" si="7"/>
        <v>7119420</v>
      </c>
      <c r="R43" s="35">
        <f t="shared" si="7"/>
        <v>7119420</v>
      </c>
      <c r="S43" s="35">
        <f t="shared" si="7"/>
        <v>7119420</v>
      </c>
      <c r="T43" s="35">
        <f t="shared" si="7"/>
        <v>7119420</v>
      </c>
      <c r="U43" s="35">
        <f t="shared" si="7"/>
        <v>7119420</v>
      </c>
      <c r="V43" s="35">
        <f t="shared" si="7"/>
        <v>7119420</v>
      </c>
    </row>
    <row r="44" spans="1:22" ht="12.75">
      <c r="A44" s="36" t="s">
        <v>81</v>
      </c>
      <c r="B44" s="37">
        <f>B31-B43</f>
        <v>-57840000</v>
      </c>
      <c r="C44" s="38">
        <f>C31-C43</f>
        <v>-113451299.14595768</v>
      </c>
      <c r="D44" s="38">
        <f>D31-D43</f>
        <v>14824007.239999998</v>
      </c>
      <c r="E44" s="38">
        <f aca="true" t="shared" si="8" ref="E44:V44">E31-E43</f>
        <v>14550107.239999998</v>
      </c>
      <c r="F44" s="38">
        <f t="shared" si="8"/>
        <v>14239907.239999998</v>
      </c>
      <c r="G44" s="38">
        <f t="shared" si="8"/>
        <v>13903307.239999998</v>
      </c>
      <c r="H44" s="38">
        <f t="shared" si="8"/>
        <v>13576607.239999998</v>
      </c>
      <c r="I44" s="38">
        <f t="shared" si="8"/>
        <v>13230107.239999998</v>
      </c>
      <c r="J44" s="38">
        <f t="shared" si="8"/>
        <v>12857207.239999998</v>
      </c>
      <c r="K44" s="38">
        <f t="shared" si="8"/>
        <v>12857207.239999998</v>
      </c>
      <c r="L44" s="38">
        <f t="shared" si="8"/>
        <v>12857207.239999998</v>
      </c>
      <c r="M44" s="38">
        <f t="shared" si="8"/>
        <v>11913407.239999998</v>
      </c>
      <c r="N44" s="38">
        <f t="shared" si="8"/>
        <v>7666307.239999998</v>
      </c>
      <c r="O44" s="38">
        <f t="shared" si="8"/>
        <v>7666307.239999998</v>
      </c>
      <c r="P44" s="38">
        <f t="shared" si="8"/>
        <v>7666307.239999998</v>
      </c>
      <c r="Q44" s="38">
        <f t="shared" si="8"/>
        <v>7666307.239999998</v>
      </c>
      <c r="R44" s="38">
        <f t="shared" si="8"/>
        <v>7666307.239999998</v>
      </c>
      <c r="S44" s="38">
        <f t="shared" si="8"/>
        <v>7666307.239999998</v>
      </c>
      <c r="T44" s="38">
        <f t="shared" si="8"/>
        <v>7666307.239999998</v>
      </c>
      <c r="U44" s="38">
        <f t="shared" si="8"/>
        <v>7666307.239999998</v>
      </c>
      <c r="V44" s="38">
        <f t="shared" si="8"/>
        <v>12322807.240000002</v>
      </c>
    </row>
    <row r="45" spans="1:22" ht="12.75">
      <c r="A45" s="36" t="s">
        <v>82</v>
      </c>
      <c r="B45" s="39">
        <v>0.12</v>
      </c>
      <c r="C45" s="34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1:22" ht="12.75">
      <c r="A46" s="34"/>
      <c r="B46" s="34"/>
      <c r="C46" s="34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1:22" ht="12.75">
      <c r="A47" s="40" t="s">
        <v>83</v>
      </c>
      <c r="B47" s="41">
        <f>NPV(B45,B44:V44)</f>
        <v>-69232709.27788231</v>
      </c>
      <c r="C47" s="3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</row>
    <row r="48" spans="1:22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2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1:22" ht="12.75">
      <c r="A51" s="30" t="s">
        <v>84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1:22" ht="12.75">
      <c r="A52" s="42" t="s">
        <v>85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</row>
    <row r="53" spans="1:22" ht="22.5" customHeight="1">
      <c r="A53" s="43" t="s">
        <v>80</v>
      </c>
      <c r="B53" s="34"/>
      <c r="C53" s="35">
        <f>($B$13*$B$14*$B$15)-(($B$13*$B$14*$B$15)*$B$8)</f>
        <v>7119420</v>
      </c>
      <c r="D53" s="35">
        <f>C53</f>
        <v>7119420</v>
      </c>
      <c r="E53" s="35">
        <f aca="true" t="shared" si="9" ref="E53:V53">D53</f>
        <v>7119420</v>
      </c>
      <c r="F53" s="35">
        <f t="shared" si="9"/>
        <v>7119420</v>
      </c>
      <c r="G53" s="35">
        <f t="shared" si="9"/>
        <v>7119420</v>
      </c>
      <c r="H53" s="35">
        <f t="shared" si="9"/>
        <v>7119420</v>
      </c>
      <c r="I53" s="35">
        <f t="shared" si="9"/>
        <v>7119420</v>
      </c>
      <c r="J53" s="35">
        <f t="shared" si="9"/>
        <v>7119420</v>
      </c>
      <c r="K53" s="35">
        <f t="shared" si="9"/>
        <v>7119420</v>
      </c>
      <c r="L53" s="35">
        <f t="shared" si="9"/>
        <v>7119420</v>
      </c>
      <c r="M53" s="35">
        <f t="shared" si="9"/>
        <v>7119420</v>
      </c>
      <c r="N53" s="35">
        <f t="shared" si="9"/>
        <v>7119420</v>
      </c>
      <c r="O53" s="35">
        <f t="shared" si="9"/>
        <v>7119420</v>
      </c>
      <c r="P53" s="35">
        <f t="shared" si="9"/>
        <v>7119420</v>
      </c>
      <c r="Q53" s="35">
        <f t="shared" si="9"/>
        <v>7119420</v>
      </c>
      <c r="R53" s="35">
        <f t="shared" si="9"/>
        <v>7119420</v>
      </c>
      <c r="S53" s="35">
        <f t="shared" si="9"/>
        <v>7119420</v>
      </c>
      <c r="T53" s="35">
        <f t="shared" si="9"/>
        <v>7119420</v>
      </c>
      <c r="U53" s="35">
        <f t="shared" si="9"/>
        <v>7119420</v>
      </c>
      <c r="V53" s="35">
        <f t="shared" si="9"/>
        <v>7119420</v>
      </c>
    </row>
    <row r="54" spans="1:22" ht="12.75">
      <c r="A54" s="42" t="s">
        <v>55</v>
      </c>
      <c r="B54" s="34">
        <v>0</v>
      </c>
      <c r="C54" s="44">
        <f>-C53</f>
        <v>-7119420</v>
      </c>
      <c r="D54" s="44">
        <f aca="true" t="shared" si="10" ref="D54:V54">-D53</f>
        <v>-7119420</v>
      </c>
      <c r="E54" s="44">
        <f t="shared" si="10"/>
        <v>-7119420</v>
      </c>
      <c r="F54" s="44">
        <f t="shared" si="10"/>
        <v>-7119420</v>
      </c>
      <c r="G54" s="44">
        <f t="shared" si="10"/>
        <v>-7119420</v>
      </c>
      <c r="H54" s="44">
        <f t="shared" si="10"/>
        <v>-7119420</v>
      </c>
      <c r="I54" s="44">
        <f t="shared" si="10"/>
        <v>-7119420</v>
      </c>
      <c r="J54" s="44">
        <f t="shared" si="10"/>
        <v>-7119420</v>
      </c>
      <c r="K54" s="44">
        <f t="shared" si="10"/>
        <v>-7119420</v>
      </c>
      <c r="L54" s="44">
        <f t="shared" si="10"/>
        <v>-7119420</v>
      </c>
      <c r="M54" s="44">
        <f t="shared" si="10"/>
        <v>-7119420</v>
      </c>
      <c r="N54" s="44">
        <f t="shared" si="10"/>
        <v>-7119420</v>
      </c>
      <c r="O54" s="44">
        <f t="shared" si="10"/>
        <v>-7119420</v>
      </c>
      <c r="P54" s="44">
        <f t="shared" si="10"/>
        <v>-7119420</v>
      </c>
      <c r="Q54" s="44">
        <f t="shared" si="10"/>
        <v>-7119420</v>
      </c>
      <c r="R54" s="44">
        <f t="shared" si="10"/>
        <v>-7119420</v>
      </c>
      <c r="S54" s="44">
        <f t="shared" si="10"/>
        <v>-7119420</v>
      </c>
      <c r="T54" s="44">
        <f t="shared" si="10"/>
        <v>-7119420</v>
      </c>
      <c r="U54" s="44">
        <f t="shared" si="10"/>
        <v>-7119420</v>
      </c>
      <c r="V54" s="44">
        <f t="shared" si="10"/>
        <v>-7119420</v>
      </c>
    </row>
    <row r="55" spans="1:22" ht="12.75">
      <c r="A55" s="36" t="s">
        <v>82</v>
      </c>
      <c r="B55" s="39">
        <v>0.12</v>
      </c>
      <c r="C55" s="34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1:22" ht="12.75">
      <c r="A56" s="34"/>
      <c r="B56" s="34"/>
      <c r="C56" s="34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  <row r="57" spans="1:22" ht="12.75">
      <c r="A57" s="40" t="s">
        <v>83</v>
      </c>
      <c r="B57" s="45">
        <f>NPV(B55,B54:V54)</f>
        <v>-47480452.078491375</v>
      </c>
      <c r="C57" s="34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6"/>
  <sheetViews>
    <sheetView zoomScalePageLayoutView="0" workbookViewId="0" topLeftCell="A1">
      <selection activeCell="A34" sqref="A34"/>
    </sheetView>
  </sheetViews>
  <sheetFormatPr defaultColWidth="10.875" defaultRowHeight="14.25"/>
  <cols>
    <col min="1" max="1" width="10.875" style="2" customWidth="1"/>
    <col min="2" max="2" width="29.125" style="2" customWidth="1"/>
    <col min="3" max="3" width="15.125" style="2" customWidth="1"/>
    <col min="4" max="4" width="11.50390625" style="2" customWidth="1"/>
    <col min="5" max="5" width="7.375" style="2" customWidth="1"/>
    <col min="6" max="16384" width="10.875" style="2" customWidth="1"/>
  </cols>
  <sheetData>
    <row r="2" spans="2:3" ht="12.75">
      <c r="B2" s="1" t="s">
        <v>61</v>
      </c>
      <c r="C2" s="2" t="s">
        <v>25</v>
      </c>
    </row>
    <row r="4" spans="2:24" ht="12.75">
      <c r="B4" s="21" t="s">
        <v>62</v>
      </c>
      <c r="C4" s="21" t="s">
        <v>63</v>
      </c>
      <c r="D4" s="21">
        <v>1</v>
      </c>
      <c r="E4" s="21">
        <v>2</v>
      </c>
      <c r="F4" s="21">
        <v>3</v>
      </c>
      <c r="G4" s="21">
        <v>4</v>
      </c>
      <c r="H4" s="21">
        <v>5</v>
      </c>
      <c r="I4" s="21">
        <v>6</v>
      </c>
      <c r="J4" s="21">
        <v>7</v>
      </c>
      <c r="K4" s="21">
        <v>8</v>
      </c>
      <c r="L4" s="21">
        <v>9</v>
      </c>
      <c r="M4" s="21">
        <v>10</v>
      </c>
      <c r="N4" s="21">
        <v>11</v>
      </c>
      <c r="O4" s="21">
        <v>12</v>
      </c>
      <c r="P4" s="21">
        <v>13</v>
      </c>
      <c r="Q4" s="21">
        <v>14</v>
      </c>
      <c r="R4" s="21">
        <v>15</v>
      </c>
      <c r="S4" s="21">
        <v>16</v>
      </c>
      <c r="T4" s="21">
        <v>17</v>
      </c>
      <c r="U4" s="21">
        <v>18</v>
      </c>
      <c r="V4" s="21">
        <v>19</v>
      </c>
      <c r="W4" s="21">
        <v>20</v>
      </c>
      <c r="X4" s="21">
        <v>21</v>
      </c>
    </row>
    <row r="5" ht="12.75">
      <c r="B5" s="2" t="s">
        <v>73</v>
      </c>
    </row>
    <row r="6" spans="1:24" ht="12.75">
      <c r="A6" s="2">
        <v>2</v>
      </c>
      <c r="B6" s="2" t="s">
        <v>74</v>
      </c>
      <c r="C6" s="2">
        <f aca="true" t="shared" si="0" ref="C6:C18">SUM(E6:X6)</f>
        <v>43590</v>
      </c>
      <c r="E6" s="2">
        <f aca="true" t="shared" si="1" ref="E6:X6">SUM(E7:E18)</f>
        <v>938</v>
      </c>
      <c r="F6" s="2">
        <f t="shared" si="1"/>
        <v>3005</v>
      </c>
      <c r="G6" s="2">
        <f t="shared" si="1"/>
        <v>3005</v>
      </c>
      <c r="H6" s="2">
        <f t="shared" si="1"/>
        <v>3005</v>
      </c>
      <c r="I6" s="2">
        <f t="shared" si="1"/>
        <v>3005</v>
      </c>
      <c r="J6" s="2">
        <f t="shared" si="1"/>
        <v>3005</v>
      </c>
      <c r="K6" s="2">
        <f t="shared" si="1"/>
        <v>3005</v>
      </c>
      <c r="L6" s="2">
        <f t="shared" si="1"/>
        <v>3005</v>
      </c>
      <c r="M6" s="2">
        <f t="shared" si="1"/>
        <v>3005</v>
      </c>
      <c r="N6" s="2">
        <f t="shared" si="1"/>
        <v>3005</v>
      </c>
      <c r="O6" s="2">
        <f t="shared" si="1"/>
        <v>2719</v>
      </c>
      <c r="P6" s="2">
        <f t="shared" si="1"/>
        <v>1432</v>
      </c>
      <c r="Q6" s="2">
        <f t="shared" si="1"/>
        <v>1432</v>
      </c>
      <c r="R6" s="2">
        <f t="shared" si="1"/>
        <v>1432</v>
      </c>
      <c r="S6" s="2">
        <f t="shared" si="1"/>
        <v>1432</v>
      </c>
      <c r="T6" s="2">
        <f t="shared" si="1"/>
        <v>1432</v>
      </c>
      <c r="U6" s="2">
        <f t="shared" si="1"/>
        <v>1432</v>
      </c>
      <c r="V6" s="2">
        <f t="shared" si="1"/>
        <v>1432</v>
      </c>
      <c r="W6" s="2">
        <f t="shared" si="1"/>
        <v>1432</v>
      </c>
      <c r="X6" s="2">
        <f t="shared" si="1"/>
        <v>1432</v>
      </c>
    </row>
    <row r="7" spans="1:24" ht="12.75">
      <c r="A7" s="2">
        <v>2.1</v>
      </c>
      <c r="B7" s="2" t="s">
        <v>75</v>
      </c>
      <c r="C7" s="2">
        <f t="shared" si="0"/>
        <v>220.5</v>
      </c>
      <c r="E7" s="2">
        <v>2</v>
      </c>
      <c r="F7" s="15">
        <v>11.5</v>
      </c>
      <c r="G7" s="15">
        <v>11.5</v>
      </c>
      <c r="H7" s="15">
        <v>11.5</v>
      </c>
      <c r="I7" s="15">
        <v>11.5</v>
      </c>
      <c r="J7" s="15">
        <v>11.5</v>
      </c>
      <c r="K7" s="15">
        <v>11.5</v>
      </c>
      <c r="L7" s="15">
        <v>11.5</v>
      </c>
      <c r="M7" s="15">
        <v>11.5</v>
      </c>
      <c r="N7" s="15">
        <v>11.5</v>
      </c>
      <c r="O7" s="15">
        <v>11.5</v>
      </c>
      <c r="P7" s="15">
        <v>11.5</v>
      </c>
      <c r="Q7" s="15">
        <v>11.5</v>
      </c>
      <c r="R7" s="15">
        <v>11.5</v>
      </c>
      <c r="S7" s="15">
        <v>11.5</v>
      </c>
      <c r="T7" s="15">
        <v>11.5</v>
      </c>
      <c r="U7" s="15">
        <v>11.5</v>
      </c>
      <c r="V7" s="15">
        <v>11.5</v>
      </c>
      <c r="W7" s="15">
        <v>11.5</v>
      </c>
      <c r="X7" s="15">
        <v>11.5</v>
      </c>
    </row>
    <row r="8" spans="1:24" ht="12.75">
      <c r="A8" s="2">
        <v>2.2</v>
      </c>
      <c r="B8" s="2" t="s">
        <v>76</v>
      </c>
      <c r="C8" s="2">
        <f t="shared" si="0"/>
        <v>4824.5</v>
      </c>
      <c r="E8" s="2">
        <v>46</v>
      </c>
      <c r="F8" s="15">
        <v>251.5</v>
      </c>
      <c r="G8" s="15">
        <v>251.5</v>
      </c>
      <c r="H8" s="15">
        <v>251.5</v>
      </c>
      <c r="I8" s="15">
        <v>251.5</v>
      </c>
      <c r="J8" s="15">
        <v>251.5</v>
      </c>
      <c r="K8" s="15">
        <v>251.5</v>
      </c>
      <c r="L8" s="15">
        <v>251.5</v>
      </c>
      <c r="M8" s="15">
        <v>251.5</v>
      </c>
      <c r="N8" s="15">
        <v>251.5</v>
      </c>
      <c r="O8" s="15">
        <v>251.5</v>
      </c>
      <c r="P8" s="15">
        <v>251.5</v>
      </c>
      <c r="Q8" s="15">
        <v>251.5</v>
      </c>
      <c r="R8" s="15">
        <v>251.5</v>
      </c>
      <c r="S8" s="15">
        <v>251.5</v>
      </c>
      <c r="T8" s="15">
        <v>251.5</v>
      </c>
      <c r="U8" s="15">
        <v>251.5</v>
      </c>
      <c r="V8" s="15">
        <v>251.5</v>
      </c>
      <c r="W8" s="15">
        <v>251.5</v>
      </c>
      <c r="X8" s="15">
        <v>251.5</v>
      </c>
    </row>
    <row r="9" spans="1:24" ht="12.75">
      <c r="A9" s="2">
        <v>2.3</v>
      </c>
      <c r="B9" s="2" t="s">
        <v>77</v>
      </c>
      <c r="C9" s="2">
        <f t="shared" si="0"/>
        <v>441</v>
      </c>
      <c r="E9" s="2">
        <v>4</v>
      </c>
      <c r="F9" s="2">
        <v>23</v>
      </c>
      <c r="G9" s="2">
        <v>23</v>
      </c>
      <c r="H9" s="2">
        <v>23</v>
      </c>
      <c r="I9" s="2">
        <v>23</v>
      </c>
      <c r="J9" s="2">
        <v>23</v>
      </c>
      <c r="K9" s="2">
        <v>23</v>
      </c>
      <c r="L9" s="2">
        <v>23</v>
      </c>
      <c r="M9" s="2">
        <v>23</v>
      </c>
      <c r="N9" s="2">
        <v>23</v>
      </c>
      <c r="O9" s="2">
        <v>23</v>
      </c>
      <c r="P9" s="2">
        <v>23</v>
      </c>
      <c r="Q9" s="2">
        <v>23</v>
      </c>
      <c r="R9" s="2">
        <v>23</v>
      </c>
      <c r="S9" s="2">
        <v>23</v>
      </c>
      <c r="T9" s="2">
        <v>23</v>
      </c>
      <c r="U9" s="2">
        <v>23</v>
      </c>
      <c r="V9" s="2">
        <v>23</v>
      </c>
      <c r="W9" s="2">
        <v>23</v>
      </c>
      <c r="X9" s="2">
        <v>23</v>
      </c>
    </row>
    <row r="10" spans="1:24" ht="12.75">
      <c r="A10" s="2">
        <v>2.4</v>
      </c>
      <c r="B10" s="2" t="s">
        <v>78</v>
      </c>
      <c r="C10" s="2">
        <f t="shared" si="0"/>
        <v>9600</v>
      </c>
      <c r="E10" s="2">
        <v>480</v>
      </c>
      <c r="F10" s="2">
        <v>480</v>
      </c>
      <c r="G10" s="2">
        <v>480</v>
      </c>
      <c r="H10" s="2">
        <v>480</v>
      </c>
      <c r="I10" s="2">
        <v>480</v>
      </c>
      <c r="J10" s="2">
        <v>480</v>
      </c>
      <c r="K10" s="2">
        <v>480</v>
      </c>
      <c r="L10" s="2">
        <v>480</v>
      </c>
      <c r="M10" s="2">
        <v>480</v>
      </c>
      <c r="N10" s="2">
        <v>480</v>
      </c>
      <c r="O10" s="2">
        <v>480</v>
      </c>
      <c r="P10" s="2">
        <v>480</v>
      </c>
      <c r="Q10" s="2">
        <v>480</v>
      </c>
      <c r="R10" s="2">
        <v>480</v>
      </c>
      <c r="S10" s="2">
        <v>480</v>
      </c>
      <c r="T10" s="2">
        <v>480</v>
      </c>
      <c r="U10" s="2">
        <v>480</v>
      </c>
      <c r="V10" s="2">
        <v>480</v>
      </c>
      <c r="W10" s="2">
        <v>480</v>
      </c>
      <c r="X10" s="2">
        <v>480</v>
      </c>
    </row>
    <row r="11" spans="1:15" s="5" customFormat="1" ht="22.5">
      <c r="A11" s="5">
        <v>2.5</v>
      </c>
      <c r="B11" s="5" t="s">
        <v>15</v>
      </c>
      <c r="C11" s="5">
        <f t="shared" si="0"/>
        <v>15729</v>
      </c>
      <c r="E11" s="5">
        <v>285</v>
      </c>
      <c r="F11" s="5">
        <v>1573</v>
      </c>
      <c r="G11" s="5">
        <v>1573</v>
      </c>
      <c r="H11" s="5">
        <v>1573</v>
      </c>
      <c r="I11" s="5">
        <v>1573</v>
      </c>
      <c r="J11" s="5">
        <v>1573</v>
      </c>
      <c r="K11" s="5">
        <v>1573</v>
      </c>
      <c r="L11" s="5">
        <v>1573</v>
      </c>
      <c r="M11" s="5">
        <v>1573</v>
      </c>
      <c r="N11" s="5">
        <v>1573</v>
      </c>
      <c r="O11" s="5">
        <v>1287</v>
      </c>
    </row>
    <row r="12" spans="1:24" ht="12.75">
      <c r="A12" s="2">
        <v>2.6</v>
      </c>
      <c r="B12" s="2" t="s">
        <v>0</v>
      </c>
      <c r="C12" s="17">
        <f t="shared" si="0"/>
        <v>7941</v>
      </c>
      <c r="E12" s="2">
        <v>75</v>
      </c>
      <c r="F12" s="2">
        <v>414</v>
      </c>
      <c r="G12" s="2">
        <v>414</v>
      </c>
      <c r="H12" s="2">
        <v>414</v>
      </c>
      <c r="I12" s="2">
        <v>414</v>
      </c>
      <c r="J12" s="2">
        <v>414</v>
      </c>
      <c r="K12" s="2">
        <v>414</v>
      </c>
      <c r="L12" s="2">
        <v>414</v>
      </c>
      <c r="M12" s="2">
        <v>414</v>
      </c>
      <c r="N12" s="2">
        <v>414</v>
      </c>
      <c r="O12" s="2">
        <v>414</v>
      </c>
      <c r="P12" s="2">
        <v>414</v>
      </c>
      <c r="Q12" s="2">
        <v>414</v>
      </c>
      <c r="R12" s="2">
        <v>414</v>
      </c>
      <c r="S12" s="2">
        <v>414</v>
      </c>
      <c r="T12" s="2">
        <v>414</v>
      </c>
      <c r="U12" s="2">
        <v>414</v>
      </c>
      <c r="V12" s="2">
        <v>414</v>
      </c>
      <c r="W12" s="2">
        <v>414</v>
      </c>
      <c r="X12" s="2">
        <v>414</v>
      </c>
    </row>
    <row r="13" spans="1:3" ht="12.75">
      <c r="A13" s="2">
        <v>2.7</v>
      </c>
      <c r="B13" s="2" t="s">
        <v>1</v>
      </c>
      <c r="C13" s="17">
        <f t="shared" si="0"/>
        <v>0</v>
      </c>
    </row>
    <row r="14" spans="1:3" ht="12.75">
      <c r="A14" s="2">
        <v>2.8</v>
      </c>
      <c r="B14" s="2" t="s">
        <v>2</v>
      </c>
      <c r="C14" s="17">
        <f t="shared" si="0"/>
        <v>0</v>
      </c>
    </row>
    <row r="15" spans="1:3" ht="12.75">
      <c r="A15" s="2">
        <v>2.9</v>
      </c>
      <c r="B15" s="2" t="s">
        <v>3</v>
      </c>
      <c r="C15" s="17">
        <f t="shared" si="0"/>
        <v>0</v>
      </c>
    </row>
    <row r="16" spans="1:3" ht="12.75">
      <c r="A16" s="14" t="s">
        <v>64</v>
      </c>
      <c r="B16" s="2" t="s">
        <v>4</v>
      </c>
      <c r="C16" s="17">
        <f t="shared" si="0"/>
        <v>0</v>
      </c>
    </row>
    <row r="17" spans="1:24" ht="14.25">
      <c r="A17" s="2">
        <v>2.11</v>
      </c>
      <c r="B17" s="2" t="s">
        <v>5</v>
      </c>
      <c r="C17" s="17">
        <f t="shared" si="0"/>
        <v>4834</v>
      </c>
      <c r="D17"/>
      <c r="E17" s="2">
        <v>46</v>
      </c>
      <c r="F17" s="2">
        <v>252</v>
      </c>
      <c r="G17" s="2">
        <v>252</v>
      </c>
      <c r="H17" s="2">
        <v>252</v>
      </c>
      <c r="I17" s="2">
        <v>252</v>
      </c>
      <c r="J17" s="2">
        <v>252</v>
      </c>
      <c r="K17" s="2">
        <v>252</v>
      </c>
      <c r="L17" s="2">
        <v>252</v>
      </c>
      <c r="M17" s="2">
        <v>252</v>
      </c>
      <c r="N17" s="2">
        <v>252</v>
      </c>
      <c r="O17" s="2">
        <v>252</v>
      </c>
      <c r="P17" s="2">
        <v>252</v>
      </c>
      <c r="Q17" s="2">
        <v>252</v>
      </c>
      <c r="R17" s="2">
        <v>252</v>
      </c>
      <c r="S17" s="2">
        <v>252</v>
      </c>
      <c r="T17" s="2">
        <v>252</v>
      </c>
      <c r="U17" s="2">
        <v>252</v>
      </c>
      <c r="V17" s="2">
        <v>252</v>
      </c>
      <c r="W17" s="2">
        <v>252</v>
      </c>
      <c r="X17" s="2">
        <v>252</v>
      </c>
    </row>
    <row r="18" spans="1:4" ht="14.25">
      <c r="A18" s="2">
        <v>2.12</v>
      </c>
      <c r="B18" s="2" t="s">
        <v>6</v>
      </c>
      <c r="C18" s="17">
        <f t="shared" si="0"/>
        <v>0</v>
      </c>
      <c r="D18"/>
    </row>
    <row r="19" spans="1:24" ht="14.25">
      <c r="A19" s="2">
        <v>3</v>
      </c>
      <c r="B19" s="2" t="s">
        <v>7</v>
      </c>
      <c r="C19"/>
      <c r="D19"/>
      <c r="E19" s="2">
        <f aca="true" t="shared" si="2" ref="E19:X19">E20+E21+E22</f>
        <v>39</v>
      </c>
      <c r="F19" s="2">
        <f t="shared" si="2"/>
        <v>603</v>
      </c>
      <c r="G19" s="2">
        <f t="shared" si="2"/>
        <v>520</v>
      </c>
      <c r="H19" s="2">
        <f t="shared" si="2"/>
        <v>426</v>
      </c>
      <c r="I19" s="2">
        <f t="shared" si="2"/>
        <v>324</v>
      </c>
      <c r="J19" s="2">
        <f t="shared" si="2"/>
        <v>225</v>
      </c>
      <c r="K19" s="2">
        <f t="shared" si="2"/>
        <v>120</v>
      </c>
      <c r="L19" s="2">
        <f t="shared" si="2"/>
        <v>7</v>
      </c>
      <c r="M19" s="2">
        <f t="shared" si="2"/>
        <v>7</v>
      </c>
      <c r="N19" s="2">
        <f t="shared" si="2"/>
        <v>7</v>
      </c>
      <c r="O19" s="2">
        <f t="shared" si="2"/>
        <v>7</v>
      </c>
      <c r="P19" s="2">
        <f t="shared" si="2"/>
        <v>7</v>
      </c>
      <c r="Q19" s="2">
        <f t="shared" si="2"/>
        <v>7</v>
      </c>
      <c r="R19" s="2">
        <f t="shared" si="2"/>
        <v>7</v>
      </c>
      <c r="S19" s="2">
        <f t="shared" si="2"/>
        <v>7</v>
      </c>
      <c r="T19" s="2">
        <f t="shared" si="2"/>
        <v>7</v>
      </c>
      <c r="U19" s="2">
        <f t="shared" si="2"/>
        <v>7</v>
      </c>
      <c r="V19" s="2">
        <f t="shared" si="2"/>
        <v>7</v>
      </c>
      <c r="W19" s="2">
        <f t="shared" si="2"/>
        <v>7</v>
      </c>
      <c r="X19" s="2">
        <f t="shared" si="2"/>
        <v>7</v>
      </c>
    </row>
    <row r="20" spans="1:11" ht="14.25">
      <c r="A20" s="2">
        <v>3.1</v>
      </c>
      <c r="B20" s="2" t="s">
        <v>8</v>
      </c>
      <c r="C20"/>
      <c r="D20"/>
      <c r="E20" s="2">
        <v>32</v>
      </c>
      <c r="F20" s="2">
        <v>578</v>
      </c>
      <c r="G20" s="2">
        <v>497</v>
      </c>
      <c r="H20" s="2">
        <v>410</v>
      </c>
      <c r="I20" s="2">
        <v>317</v>
      </c>
      <c r="J20" s="2">
        <v>218</v>
      </c>
      <c r="K20" s="2">
        <v>113</v>
      </c>
    </row>
    <row r="21" spans="1:24" ht="14.25">
      <c r="A21" s="2">
        <v>3.2</v>
      </c>
      <c r="B21" s="2" t="s">
        <v>9</v>
      </c>
      <c r="C21"/>
      <c r="D21"/>
      <c r="E21" s="2">
        <v>7</v>
      </c>
      <c r="F21" s="2">
        <v>7</v>
      </c>
      <c r="G21" s="2">
        <v>7</v>
      </c>
      <c r="H21" s="2">
        <v>7</v>
      </c>
      <c r="I21" s="2">
        <v>7</v>
      </c>
      <c r="J21" s="2">
        <v>7</v>
      </c>
      <c r="K21" s="2">
        <v>7</v>
      </c>
      <c r="L21" s="2">
        <v>7</v>
      </c>
      <c r="M21" s="2">
        <v>7</v>
      </c>
      <c r="N21" s="2">
        <v>7</v>
      </c>
      <c r="O21" s="2">
        <v>7</v>
      </c>
      <c r="P21" s="2">
        <v>7</v>
      </c>
      <c r="Q21" s="2">
        <v>7</v>
      </c>
      <c r="R21" s="2">
        <v>7</v>
      </c>
      <c r="S21" s="2">
        <v>7</v>
      </c>
      <c r="T21" s="2">
        <v>7</v>
      </c>
      <c r="U21" s="2">
        <v>7</v>
      </c>
      <c r="V21" s="2">
        <v>7</v>
      </c>
      <c r="W21" s="2">
        <v>7</v>
      </c>
      <c r="X21" s="2">
        <v>7</v>
      </c>
    </row>
    <row r="22" spans="1:8" ht="14.25">
      <c r="A22" s="2">
        <v>3.3</v>
      </c>
      <c r="B22" s="2" t="s">
        <v>10</v>
      </c>
      <c r="C22"/>
      <c r="D22"/>
      <c r="F22" s="2">
        <v>18</v>
      </c>
      <c r="G22" s="2">
        <v>16</v>
      </c>
      <c r="H22" s="2">
        <v>9</v>
      </c>
    </row>
    <row r="23" spans="1:4" ht="14.25">
      <c r="A23" s="2">
        <v>3.4</v>
      </c>
      <c r="B23" s="2" t="s">
        <v>11</v>
      </c>
      <c r="C23"/>
      <c r="D23"/>
    </row>
    <row r="24" spans="1:24" ht="14.25">
      <c r="A24" s="2">
        <v>4</v>
      </c>
      <c r="B24" s="2" t="s">
        <v>13</v>
      </c>
      <c r="C24"/>
      <c r="D24"/>
      <c r="E24" s="2">
        <f>E6+E19</f>
        <v>977</v>
      </c>
      <c r="F24" s="2">
        <f aca="true" t="shared" si="3" ref="F24:X24">F6+F19</f>
        <v>3608</v>
      </c>
      <c r="G24" s="2">
        <f t="shared" si="3"/>
        <v>3525</v>
      </c>
      <c r="H24" s="2">
        <f t="shared" si="3"/>
        <v>3431</v>
      </c>
      <c r="I24" s="2">
        <f t="shared" si="3"/>
        <v>3329</v>
      </c>
      <c r="J24" s="2">
        <f t="shared" si="3"/>
        <v>3230</v>
      </c>
      <c r="K24" s="2">
        <f t="shared" si="3"/>
        <v>3125</v>
      </c>
      <c r="L24" s="2">
        <f t="shared" si="3"/>
        <v>3012</v>
      </c>
      <c r="M24" s="2">
        <f t="shared" si="3"/>
        <v>3012</v>
      </c>
      <c r="N24" s="2">
        <f t="shared" si="3"/>
        <v>3012</v>
      </c>
      <c r="O24" s="2">
        <f t="shared" si="3"/>
        <v>2726</v>
      </c>
      <c r="P24" s="2">
        <f t="shared" si="3"/>
        <v>1439</v>
      </c>
      <c r="Q24" s="2">
        <f t="shared" si="3"/>
        <v>1439</v>
      </c>
      <c r="R24" s="2">
        <f t="shared" si="3"/>
        <v>1439</v>
      </c>
      <c r="S24" s="2">
        <f t="shared" si="3"/>
        <v>1439</v>
      </c>
      <c r="T24" s="2">
        <f t="shared" si="3"/>
        <v>1439</v>
      </c>
      <c r="U24" s="2">
        <f t="shared" si="3"/>
        <v>1439</v>
      </c>
      <c r="V24" s="2">
        <f t="shared" si="3"/>
        <v>1439</v>
      </c>
      <c r="W24" s="2">
        <f t="shared" si="3"/>
        <v>1439</v>
      </c>
      <c r="X24" s="2">
        <f t="shared" si="3"/>
        <v>1439</v>
      </c>
    </row>
    <row r="25" spans="1:24" ht="14.25">
      <c r="A25" s="2">
        <v>5</v>
      </c>
      <c r="B25" s="2" t="s">
        <v>14</v>
      </c>
      <c r="C25"/>
      <c r="D25"/>
      <c r="E25" s="2">
        <f>E6-E11</f>
        <v>653</v>
      </c>
      <c r="F25" s="2">
        <f aca="true" t="shared" si="4" ref="F25:X25">F6-F11</f>
        <v>1432</v>
      </c>
      <c r="G25" s="2">
        <f t="shared" si="4"/>
        <v>1432</v>
      </c>
      <c r="H25" s="2">
        <f t="shared" si="4"/>
        <v>1432</v>
      </c>
      <c r="I25" s="2">
        <f t="shared" si="4"/>
        <v>1432</v>
      </c>
      <c r="J25" s="2">
        <f t="shared" si="4"/>
        <v>1432</v>
      </c>
      <c r="K25" s="2">
        <f t="shared" si="4"/>
        <v>1432</v>
      </c>
      <c r="L25" s="2">
        <f t="shared" si="4"/>
        <v>1432</v>
      </c>
      <c r="M25" s="2">
        <f t="shared" si="4"/>
        <v>1432</v>
      </c>
      <c r="N25" s="2">
        <f t="shared" si="4"/>
        <v>1432</v>
      </c>
      <c r="O25" s="2">
        <f t="shared" si="4"/>
        <v>1432</v>
      </c>
      <c r="P25" s="2">
        <f t="shared" si="4"/>
        <v>1432</v>
      </c>
      <c r="Q25" s="2">
        <f t="shared" si="4"/>
        <v>1432</v>
      </c>
      <c r="R25" s="2">
        <f t="shared" si="4"/>
        <v>1432</v>
      </c>
      <c r="S25" s="2">
        <f t="shared" si="4"/>
        <v>1432</v>
      </c>
      <c r="T25" s="2">
        <f t="shared" si="4"/>
        <v>1432</v>
      </c>
      <c r="U25" s="2">
        <f t="shared" si="4"/>
        <v>1432</v>
      </c>
      <c r="V25" s="2">
        <f t="shared" si="4"/>
        <v>1432</v>
      </c>
      <c r="W25" s="2">
        <f t="shared" si="4"/>
        <v>1432</v>
      </c>
      <c r="X25" s="2">
        <f t="shared" si="4"/>
        <v>1432</v>
      </c>
    </row>
    <row r="26" spans="3:4" ht="14.25">
      <c r="C26"/>
      <c r="D26"/>
    </row>
    <row r="27" spans="2:4" ht="12.75">
      <c r="B27" s="2" t="s">
        <v>26</v>
      </c>
      <c r="C27" s="17">
        <f>SUM(C7:C18)</f>
        <v>43590</v>
      </c>
      <c r="D27" s="17" t="s">
        <v>28</v>
      </c>
    </row>
    <row r="28" spans="2:4" ht="12.75">
      <c r="B28" s="2" t="s">
        <v>27</v>
      </c>
      <c r="C28" s="17">
        <f>C11*10000+'Gangyuan IRR analysis'!Z1+'Gangyuan IRR analysis'!V20+'Gangyuan IRR analysis'!V21</f>
        <v>164240000</v>
      </c>
      <c r="D28" s="17" t="s">
        <v>36</v>
      </c>
    </row>
    <row r="29" spans="3:4" ht="14.25">
      <c r="C29"/>
      <c r="D29"/>
    </row>
    <row r="30" spans="3:4" ht="14.25">
      <c r="C30"/>
      <c r="D30"/>
    </row>
    <row r="31" spans="3:4" ht="14.25">
      <c r="C31"/>
      <c r="D31"/>
    </row>
    <row r="32" spans="3:4" ht="14.25">
      <c r="C32" s="16"/>
      <c r="D32" s="16"/>
    </row>
    <row r="33" spans="3:4" ht="14.25">
      <c r="C33" s="16"/>
      <c r="D33" s="16"/>
    </row>
    <row r="34" spans="3:4" ht="14.25">
      <c r="C34" s="16"/>
      <c r="D34" s="16"/>
    </row>
    <row r="35" spans="3:4" ht="14.25">
      <c r="C35" s="16"/>
      <c r="D35" s="16"/>
    </row>
    <row r="36" spans="3:4" ht="14.25">
      <c r="C36" s="16"/>
      <c r="D36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A35" sqref="A35"/>
    </sheetView>
  </sheetViews>
  <sheetFormatPr defaultColWidth="9.00390625" defaultRowHeight="14.25"/>
  <cols>
    <col min="1" max="1" width="32.875" style="2" customWidth="1"/>
    <col min="2" max="2" width="16.375" style="2" customWidth="1"/>
    <col min="3" max="3" width="9.375" style="2" bestFit="1" customWidth="1"/>
    <col min="4" max="16384" width="9.00390625" style="2" customWidth="1"/>
  </cols>
  <sheetData>
    <row r="1" spans="1:4" ht="12.75">
      <c r="A1" s="2" t="s">
        <v>29</v>
      </c>
      <c r="B1" s="2" t="s">
        <v>30</v>
      </c>
      <c r="D1" s="2" t="s">
        <v>65</v>
      </c>
    </row>
    <row r="2" spans="1:4" ht="12.75">
      <c r="A2" s="2" t="s">
        <v>31</v>
      </c>
      <c r="B2" s="2">
        <v>30</v>
      </c>
      <c r="C2" s="2" t="s">
        <v>32</v>
      </c>
      <c r="D2" s="2" t="s">
        <v>66</v>
      </c>
    </row>
    <row r="3" spans="1:4" ht="12.75">
      <c r="A3" s="2" t="s">
        <v>33</v>
      </c>
      <c r="B3" s="2">
        <v>189000000</v>
      </c>
      <c r="C3" s="2" t="s">
        <v>34</v>
      </c>
      <c r="D3" s="2" t="s">
        <v>66</v>
      </c>
    </row>
    <row r="4" spans="1:4" ht="12.75">
      <c r="A4" s="2" t="s">
        <v>35</v>
      </c>
      <c r="B4" s="2">
        <v>0.195</v>
      </c>
      <c r="C4" s="2" t="s">
        <v>36</v>
      </c>
      <c r="D4" s="2" t="s">
        <v>12</v>
      </c>
    </row>
    <row r="5" spans="1:4" ht="12.75">
      <c r="A5" s="2" t="s">
        <v>37</v>
      </c>
      <c r="B5" s="23">
        <v>0.22815</v>
      </c>
      <c r="C5" s="2" t="s">
        <v>36</v>
      </c>
      <c r="D5" s="2" t="s">
        <v>12</v>
      </c>
    </row>
    <row r="6" spans="1:4" ht="12.75">
      <c r="A6" s="2" t="s">
        <v>38</v>
      </c>
      <c r="B6" s="2">
        <v>0.08</v>
      </c>
      <c r="D6" s="2" t="s">
        <v>67</v>
      </c>
    </row>
    <row r="7" spans="1:4" ht="12.75">
      <c r="A7" s="2" t="s">
        <v>39</v>
      </c>
      <c r="B7" s="2">
        <v>0.17</v>
      </c>
      <c r="D7" s="2" t="s">
        <v>68</v>
      </c>
    </row>
    <row r="8" spans="1:4" ht="12.75">
      <c r="A8" s="2" t="s">
        <v>40</v>
      </c>
      <c r="B8" s="2">
        <v>0.33</v>
      </c>
      <c r="D8" s="2" t="s">
        <v>69</v>
      </c>
    </row>
    <row r="9" spans="1:4" ht="12.75">
      <c r="A9" s="2" t="s">
        <v>41</v>
      </c>
      <c r="B9" s="2">
        <v>0.9812</v>
      </c>
      <c r="C9" s="2" t="s">
        <v>42</v>
      </c>
      <c r="D9" s="2" t="s">
        <v>70</v>
      </c>
    </row>
    <row r="10" spans="1:4" ht="12.75">
      <c r="A10" s="2" t="s">
        <v>43</v>
      </c>
      <c r="B10" s="2">
        <v>185446.8</v>
      </c>
      <c r="C10" s="2" t="s">
        <v>44</v>
      </c>
      <c r="D10" s="2" t="s">
        <v>71</v>
      </c>
    </row>
    <row r="11" spans="1:3" ht="12.75">
      <c r="A11" s="2" t="s">
        <v>45</v>
      </c>
      <c r="B11" s="2">
        <v>80</v>
      </c>
      <c r="C11" s="2" t="s">
        <v>36</v>
      </c>
    </row>
    <row r="12" spans="1:4" ht="12.75">
      <c r="A12" s="2" t="s">
        <v>46</v>
      </c>
      <c r="B12" s="2">
        <f>B20+C20</f>
        <v>135164075.83288887</v>
      </c>
      <c r="C12" s="2" t="s">
        <v>36</v>
      </c>
      <c r="D12" s="2" t="s">
        <v>72</v>
      </c>
    </row>
    <row r="14" spans="1:26" s="7" customFormat="1" ht="12.75">
      <c r="A14" s="1" t="s">
        <v>47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7" customFormat="1" ht="24" customHeight="1">
      <c r="A15" s="3" t="s">
        <v>48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2"/>
      <c r="X15" s="2"/>
      <c r="Y15" s="2"/>
      <c r="Z15" s="2"/>
    </row>
    <row r="16" spans="1:26" s="7" customFormat="1" ht="22.5">
      <c r="A16" s="4" t="s">
        <v>49</v>
      </c>
      <c r="B16" s="12"/>
      <c r="C16" s="12">
        <f>D16*669/3686</f>
        <v>6689092.512208356</v>
      </c>
      <c r="D16" s="12">
        <f>B3*B4</f>
        <v>36855000</v>
      </c>
      <c r="E16" s="12">
        <f aca="true" t="shared" si="0" ref="E16:V16">D16</f>
        <v>36855000</v>
      </c>
      <c r="F16" s="12">
        <f t="shared" si="0"/>
        <v>36855000</v>
      </c>
      <c r="G16" s="12">
        <f t="shared" si="0"/>
        <v>36855000</v>
      </c>
      <c r="H16" s="12">
        <f t="shared" si="0"/>
        <v>36855000</v>
      </c>
      <c r="I16" s="12">
        <f t="shared" si="0"/>
        <v>36855000</v>
      </c>
      <c r="J16" s="12">
        <f t="shared" si="0"/>
        <v>36855000</v>
      </c>
      <c r="K16" s="12">
        <f t="shared" si="0"/>
        <v>36855000</v>
      </c>
      <c r="L16" s="12">
        <f t="shared" si="0"/>
        <v>36855000</v>
      </c>
      <c r="M16" s="12">
        <f t="shared" si="0"/>
        <v>36855000</v>
      </c>
      <c r="N16" s="12">
        <f t="shared" si="0"/>
        <v>36855000</v>
      </c>
      <c r="O16" s="12">
        <f t="shared" si="0"/>
        <v>36855000</v>
      </c>
      <c r="P16" s="12">
        <f t="shared" si="0"/>
        <v>36855000</v>
      </c>
      <c r="Q16" s="12">
        <f t="shared" si="0"/>
        <v>36855000</v>
      </c>
      <c r="R16" s="12">
        <f t="shared" si="0"/>
        <v>36855000</v>
      </c>
      <c r="S16" s="12">
        <f t="shared" si="0"/>
        <v>36855000</v>
      </c>
      <c r="T16" s="12">
        <f t="shared" si="0"/>
        <v>36855000</v>
      </c>
      <c r="U16" s="12">
        <f t="shared" si="0"/>
        <v>36855000</v>
      </c>
      <c r="V16" s="12">
        <f t="shared" si="0"/>
        <v>36855000</v>
      </c>
      <c r="W16" s="2"/>
      <c r="X16" s="2"/>
      <c r="Y16" s="2"/>
      <c r="Z16" s="2"/>
    </row>
    <row r="17" spans="1:26" s="7" customFormat="1" ht="22.5">
      <c r="A17" s="2" t="s">
        <v>50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5170000</v>
      </c>
      <c r="W17" s="2"/>
      <c r="X17" s="2"/>
      <c r="Y17" s="2"/>
      <c r="Z17" s="2"/>
    </row>
    <row r="18" spans="1:26" s="7" customFormat="1" ht="12.75">
      <c r="A18" s="2" t="s">
        <v>51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1780000</v>
      </c>
      <c r="W18" s="2"/>
      <c r="X18" s="2"/>
      <c r="Y18" s="2"/>
      <c r="Z18" s="2"/>
    </row>
    <row r="19" spans="1:26" s="7" customFormat="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7" customFormat="1" ht="22.5">
      <c r="A20" s="2" t="s">
        <v>52</v>
      </c>
      <c r="B20" s="8">
        <v>56860000</v>
      </c>
      <c r="C20" s="8">
        <v>78304075.83288887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7" customFormat="1" ht="12.75">
      <c r="A21" s="2" t="s">
        <v>53</v>
      </c>
      <c r="B21" s="8">
        <v>980000</v>
      </c>
      <c r="C21" s="8">
        <v>810000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7" customFormat="1" ht="12.75">
      <c r="A22" s="2" t="s">
        <v>22</v>
      </c>
      <c r="B22" s="2"/>
      <c r="C22" s="8">
        <f>6520000</f>
        <v>6520000</v>
      </c>
      <c r="D22" s="8">
        <f>14320000</f>
        <v>14320000</v>
      </c>
      <c r="E22" s="8">
        <f aca="true" t="shared" si="1" ref="E22:U22">D22</f>
        <v>14320000</v>
      </c>
      <c r="F22" s="8">
        <f t="shared" si="1"/>
        <v>14320000</v>
      </c>
      <c r="G22" s="8">
        <f t="shared" si="1"/>
        <v>14320000</v>
      </c>
      <c r="H22" s="8">
        <f t="shared" si="1"/>
        <v>14320000</v>
      </c>
      <c r="I22" s="8">
        <f t="shared" si="1"/>
        <v>14320000</v>
      </c>
      <c r="J22" s="8">
        <f t="shared" si="1"/>
        <v>14320000</v>
      </c>
      <c r="K22" s="8">
        <f t="shared" si="1"/>
        <v>14320000</v>
      </c>
      <c r="L22" s="8">
        <f t="shared" si="1"/>
        <v>14320000</v>
      </c>
      <c r="M22" s="8">
        <f t="shared" si="1"/>
        <v>14320000</v>
      </c>
      <c r="N22" s="8">
        <f t="shared" si="1"/>
        <v>14320000</v>
      </c>
      <c r="O22" s="8">
        <f t="shared" si="1"/>
        <v>14320000</v>
      </c>
      <c r="P22" s="8">
        <f t="shared" si="1"/>
        <v>14320000</v>
      </c>
      <c r="Q22" s="8">
        <f t="shared" si="1"/>
        <v>14320000</v>
      </c>
      <c r="R22" s="8">
        <f t="shared" si="1"/>
        <v>14320000</v>
      </c>
      <c r="S22" s="8">
        <f t="shared" si="1"/>
        <v>14320000</v>
      </c>
      <c r="T22" s="8">
        <f t="shared" si="1"/>
        <v>14320000</v>
      </c>
      <c r="U22" s="8">
        <f t="shared" si="1"/>
        <v>14320000</v>
      </c>
      <c r="V22" s="8">
        <f>U22</f>
        <v>14320000</v>
      </c>
      <c r="W22" s="2"/>
      <c r="X22" s="2"/>
      <c r="Y22" s="2"/>
      <c r="Z22" s="2"/>
    </row>
    <row r="23" spans="1:26" s="7" customFormat="1" ht="12.75">
      <c r="A23" s="2" t="s">
        <v>38</v>
      </c>
      <c r="B23" s="2"/>
      <c r="C23" s="2">
        <f>C16*B6*B7</f>
        <v>90971.65816603364</v>
      </c>
      <c r="D23" s="2">
        <f>D16*$B7*$B6</f>
        <v>501228</v>
      </c>
      <c r="E23" s="2">
        <f>E16*$B7*$B6</f>
        <v>501228</v>
      </c>
      <c r="F23" s="2">
        <f aca="true" t="shared" si="2" ref="F23:U23">F16*$B7*$B6</f>
        <v>501228</v>
      </c>
      <c r="G23" s="2">
        <f t="shared" si="2"/>
        <v>501228</v>
      </c>
      <c r="H23" s="2">
        <f t="shared" si="2"/>
        <v>501228</v>
      </c>
      <c r="I23" s="2">
        <f t="shared" si="2"/>
        <v>501228</v>
      </c>
      <c r="J23" s="2">
        <f t="shared" si="2"/>
        <v>501228</v>
      </c>
      <c r="K23" s="2">
        <f t="shared" si="2"/>
        <v>501228</v>
      </c>
      <c r="L23" s="2">
        <f t="shared" si="2"/>
        <v>501228</v>
      </c>
      <c r="M23" s="2">
        <f t="shared" si="2"/>
        <v>501228</v>
      </c>
      <c r="N23" s="2">
        <f t="shared" si="2"/>
        <v>501228</v>
      </c>
      <c r="O23" s="2">
        <f t="shared" si="2"/>
        <v>501228</v>
      </c>
      <c r="P23" s="2">
        <f t="shared" si="2"/>
        <v>501228</v>
      </c>
      <c r="Q23" s="2">
        <f t="shared" si="2"/>
        <v>501228</v>
      </c>
      <c r="R23" s="2">
        <f t="shared" si="2"/>
        <v>501228</v>
      </c>
      <c r="S23" s="2">
        <f t="shared" si="2"/>
        <v>501228</v>
      </c>
      <c r="T23" s="2">
        <f t="shared" si="2"/>
        <v>501228</v>
      </c>
      <c r="U23" s="2">
        <f t="shared" si="2"/>
        <v>501228</v>
      </c>
      <c r="V23" s="2">
        <f>V16*$B7*$B6</f>
        <v>501228</v>
      </c>
      <c r="W23" s="2"/>
      <c r="X23" s="2"/>
      <c r="Y23" s="2"/>
      <c r="Z23" s="2"/>
    </row>
    <row r="24" spans="1:26" s="7" customFormat="1" ht="12.75">
      <c r="A24" s="2" t="s">
        <v>60</v>
      </c>
      <c r="B24" s="2"/>
      <c r="C24" s="8">
        <f>'Total cost breakdown'!E24*10000</f>
        <v>9770000</v>
      </c>
      <c r="D24" s="8">
        <f>'Total cost breakdown'!F24*10000</f>
        <v>36080000</v>
      </c>
      <c r="E24" s="8">
        <f>'Total cost breakdown'!G24*10000</f>
        <v>35250000</v>
      </c>
      <c r="F24" s="8">
        <f>'Total cost breakdown'!H24*10000</f>
        <v>34310000</v>
      </c>
      <c r="G24" s="8">
        <f>'Total cost breakdown'!I24*10000</f>
        <v>33290000</v>
      </c>
      <c r="H24" s="8">
        <f>'Total cost breakdown'!J24*10000</f>
        <v>32300000</v>
      </c>
      <c r="I24" s="8">
        <f>'Total cost breakdown'!K24*10000</f>
        <v>31250000</v>
      </c>
      <c r="J24" s="8">
        <f>'Total cost breakdown'!L24*10000</f>
        <v>30120000</v>
      </c>
      <c r="K24" s="8">
        <f>'Total cost breakdown'!M24*10000</f>
        <v>30120000</v>
      </c>
      <c r="L24" s="8">
        <f>'Total cost breakdown'!N24*10000</f>
        <v>30120000</v>
      </c>
      <c r="M24" s="8">
        <f>'Total cost breakdown'!O24*10000</f>
        <v>27260000</v>
      </c>
      <c r="N24" s="8">
        <f>'Total cost breakdown'!P24*10000</f>
        <v>14390000</v>
      </c>
      <c r="O24" s="8">
        <f>'Total cost breakdown'!Q24*10000</f>
        <v>14390000</v>
      </c>
      <c r="P24" s="8">
        <f>'Total cost breakdown'!R24*10000</f>
        <v>14390000</v>
      </c>
      <c r="Q24" s="8">
        <f>'Total cost breakdown'!S24*10000</f>
        <v>14390000</v>
      </c>
      <c r="R24" s="8">
        <f>'Total cost breakdown'!T24*10000</f>
        <v>14390000</v>
      </c>
      <c r="S24" s="8">
        <f>'Total cost breakdown'!U24*10000</f>
        <v>14390000</v>
      </c>
      <c r="T24" s="8">
        <f>'Total cost breakdown'!V24*10000</f>
        <v>14390000</v>
      </c>
      <c r="U24" s="8">
        <f>'Total cost breakdown'!W24*10000</f>
        <v>14390000</v>
      </c>
      <c r="V24" s="8">
        <f>'Total cost breakdown'!X24*10000</f>
        <v>14390000</v>
      </c>
      <c r="W24" s="2"/>
      <c r="X24" s="2"/>
      <c r="Y24" s="2"/>
      <c r="Z24" s="2"/>
    </row>
    <row r="25" spans="1:26" s="7" customFormat="1" ht="12.75">
      <c r="A25" s="2" t="s">
        <v>54</v>
      </c>
      <c r="B25" s="2"/>
      <c r="C25" s="2">
        <f aca="true" t="shared" si="3" ref="C25:U25">C16-C23-C24</f>
        <v>-3171879.1459576776</v>
      </c>
      <c r="D25" s="2">
        <f t="shared" si="3"/>
        <v>273772</v>
      </c>
      <c r="E25" s="2">
        <f t="shared" si="3"/>
        <v>1103772</v>
      </c>
      <c r="F25" s="2">
        <f t="shared" si="3"/>
        <v>2043772</v>
      </c>
      <c r="G25" s="2">
        <f t="shared" si="3"/>
        <v>3063772</v>
      </c>
      <c r="H25" s="2">
        <f t="shared" si="3"/>
        <v>4053772</v>
      </c>
      <c r="I25" s="2">
        <f t="shared" si="3"/>
        <v>5103772</v>
      </c>
      <c r="J25" s="2">
        <f t="shared" si="3"/>
        <v>6233772</v>
      </c>
      <c r="K25" s="2">
        <f t="shared" si="3"/>
        <v>6233772</v>
      </c>
      <c r="L25" s="2">
        <f t="shared" si="3"/>
        <v>6233772</v>
      </c>
      <c r="M25" s="2">
        <f t="shared" si="3"/>
        <v>9093772</v>
      </c>
      <c r="N25" s="2">
        <f t="shared" si="3"/>
        <v>21963772</v>
      </c>
      <c r="O25" s="2">
        <f t="shared" si="3"/>
        <v>21963772</v>
      </c>
      <c r="P25" s="2">
        <f t="shared" si="3"/>
        <v>21963772</v>
      </c>
      <c r="Q25" s="2">
        <f t="shared" si="3"/>
        <v>21963772</v>
      </c>
      <c r="R25" s="2">
        <f t="shared" si="3"/>
        <v>21963772</v>
      </c>
      <c r="S25" s="2">
        <f t="shared" si="3"/>
        <v>21963772</v>
      </c>
      <c r="T25" s="2">
        <f t="shared" si="3"/>
        <v>21963772</v>
      </c>
      <c r="U25" s="2">
        <f t="shared" si="3"/>
        <v>21963772</v>
      </c>
      <c r="V25" s="2">
        <f>V16+V17+V18-V23-V24</f>
        <v>28913772</v>
      </c>
      <c r="W25" s="2"/>
      <c r="X25" s="2"/>
      <c r="Y25" s="2"/>
      <c r="Z25" s="2"/>
    </row>
    <row r="26" spans="1:26" s="7" customFormat="1" ht="12.75">
      <c r="A26" s="2" t="s">
        <v>40</v>
      </c>
      <c r="B26" s="2"/>
      <c r="C26" s="2"/>
      <c r="D26" s="2">
        <f>D25*B8</f>
        <v>90344.76000000001</v>
      </c>
      <c r="E26" s="2">
        <f>E25*B8</f>
        <v>364244.76</v>
      </c>
      <c r="F26" s="2">
        <f>F25*B8</f>
        <v>674444.76</v>
      </c>
      <c r="G26" s="2">
        <f>G25*B8</f>
        <v>1011044.76</v>
      </c>
      <c r="H26" s="2">
        <f>H25*B8</f>
        <v>1337744.76</v>
      </c>
      <c r="I26" s="2">
        <f>I25*B8</f>
        <v>1684244.76</v>
      </c>
      <c r="J26" s="2">
        <f>J25*B8</f>
        <v>2057144.76</v>
      </c>
      <c r="K26" s="2">
        <f>K25*B8</f>
        <v>2057144.76</v>
      </c>
      <c r="L26" s="2">
        <f>L25*B8</f>
        <v>2057144.76</v>
      </c>
      <c r="M26" s="2">
        <f>M25*B8</f>
        <v>3000944.7600000002</v>
      </c>
      <c r="N26" s="2">
        <f>N25*B8</f>
        <v>7248044.760000001</v>
      </c>
      <c r="O26" s="2">
        <f>O25*B8</f>
        <v>7248044.760000001</v>
      </c>
      <c r="P26" s="2">
        <f>P25*B8</f>
        <v>7248044.760000001</v>
      </c>
      <c r="Q26" s="2">
        <f>Q25*B8</f>
        <v>7248044.760000001</v>
      </c>
      <c r="R26" s="2">
        <f>R25*B8</f>
        <v>7248044.760000001</v>
      </c>
      <c r="S26" s="2">
        <f>S25*B8</f>
        <v>7248044.760000001</v>
      </c>
      <c r="T26" s="2">
        <f>T25*B8</f>
        <v>7248044.760000001</v>
      </c>
      <c r="U26" s="2">
        <f>U25*B8</f>
        <v>7248044.760000001</v>
      </c>
      <c r="V26" s="2">
        <f>V25*B8</f>
        <v>9541544.76</v>
      </c>
      <c r="W26" s="2"/>
      <c r="X26" s="2"/>
      <c r="Y26" s="2"/>
      <c r="Z26" s="2"/>
    </row>
    <row r="27" spans="1:26" s="7" customFormat="1" ht="22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7" customFormat="1" ht="12.75">
      <c r="A28" s="2" t="s">
        <v>55</v>
      </c>
      <c r="B28" s="2">
        <f>0-B20-B21</f>
        <v>-57840000</v>
      </c>
      <c r="C28" s="2">
        <f>C16-C20-C21-C22-C23-C26</f>
        <v>-79035954.97884655</v>
      </c>
      <c r="D28" s="2">
        <f aca="true" t="shared" si="4" ref="D28:U28">D16-D22-D23-D26</f>
        <v>21943427.24</v>
      </c>
      <c r="E28" s="2">
        <f t="shared" si="4"/>
        <v>21669527.24</v>
      </c>
      <c r="F28" s="2">
        <f t="shared" si="4"/>
        <v>21359327.24</v>
      </c>
      <c r="G28" s="2">
        <f t="shared" si="4"/>
        <v>21022727.24</v>
      </c>
      <c r="H28" s="2">
        <f t="shared" si="4"/>
        <v>20696027.24</v>
      </c>
      <c r="I28" s="2">
        <f t="shared" si="4"/>
        <v>20349527.24</v>
      </c>
      <c r="J28" s="2">
        <f t="shared" si="4"/>
        <v>19976627.24</v>
      </c>
      <c r="K28" s="2">
        <f t="shared" si="4"/>
        <v>19976627.24</v>
      </c>
      <c r="L28" s="2">
        <f t="shared" si="4"/>
        <v>19976627.24</v>
      </c>
      <c r="M28" s="2">
        <f t="shared" si="4"/>
        <v>19032827.24</v>
      </c>
      <c r="N28" s="2">
        <f t="shared" si="4"/>
        <v>14785727.239999998</v>
      </c>
      <c r="O28" s="2">
        <f t="shared" si="4"/>
        <v>14785727.239999998</v>
      </c>
      <c r="P28" s="2">
        <f t="shared" si="4"/>
        <v>14785727.239999998</v>
      </c>
      <c r="Q28" s="2">
        <f t="shared" si="4"/>
        <v>14785727.239999998</v>
      </c>
      <c r="R28" s="2">
        <f t="shared" si="4"/>
        <v>14785727.239999998</v>
      </c>
      <c r="S28" s="2">
        <f t="shared" si="4"/>
        <v>14785727.239999998</v>
      </c>
      <c r="T28" s="2">
        <f t="shared" si="4"/>
        <v>14785727.239999998</v>
      </c>
      <c r="U28" s="2">
        <f t="shared" si="4"/>
        <v>14785727.239999998</v>
      </c>
      <c r="V28" s="2">
        <f>V16+V17+V18-V22-V23-V26</f>
        <v>19442227.240000002</v>
      </c>
      <c r="W28" s="2"/>
      <c r="X28" s="2"/>
      <c r="Y28" s="2"/>
      <c r="Z28" s="2"/>
    </row>
    <row r="29" spans="1:26" s="7" customFormat="1" ht="12.75">
      <c r="A29" s="5" t="s">
        <v>59</v>
      </c>
      <c r="B29" s="13">
        <f>IRR(B28:V28)</f>
        <v>0.12001148962287987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7" customFormat="1" ht="12.75">
      <c r="A30" s="2" t="s">
        <v>56</v>
      </c>
      <c r="B30" s="2"/>
      <c r="C30" s="2"/>
      <c r="D30" s="2">
        <f>B10*B11</f>
        <v>14835744</v>
      </c>
      <c r="E30" s="2">
        <f aca="true" t="shared" si="5" ref="E30:J30">D30</f>
        <v>14835744</v>
      </c>
      <c r="F30" s="2">
        <f t="shared" si="5"/>
        <v>14835744</v>
      </c>
      <c r="G30" s="2">
        <f t="shared" si="5"/>
        <v>14835744</v>
      </c>
      <c r="H30" s="2">
        <f t="shared" si="5"/>
        <v>14835744</v>
      </c>
      <c r="I30" s="2">
        <f t="shared" si="5"/>
        <v>14835744</v>
      </c>
      <c r="J30" s="2">
        <f t="shared" si="5"/>
        <v>14835744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7" customFormat="1" ht="12.75">
      <c r="A31" s="2" t="s">
        <v>57</v>
      </c>
      <c r="B31" s="2">
        <f aca="true" t="shared" si="6" ref="B31:V31">B28+B30</f>
        <v>-57840000</v>
      </c>
      <c r="C31" s="2">
        <f t="shared" si="6"/>
        <v>-79035954.97884655</v>
      </c>
      <c r="D31" s="2">
        <f t="shared" si="6"/>
        <v>36779171.239999995</v>
      </c>
      <c r="E31" s="2">
        <f t="shared" si="6"/>
        <v>36505271.239999995</v>
      </c>
      <c r="F31" s="2">
        <f t="shared" si="6"/>
        <v>36195071.239999995</v>
      </c>
      <c r="G31" s="2">
        <f t="shared" si="6"/>
        <v>35858471.239999995</v>
      </c>
      <c r="H31" s="2">
        <f t="shared" si="6"/>
        <v>35531771.239999995</v>
      </c>
      <c r="I31" s="2">
        <f t="shared" si="6"/>
        <v>35185271.239999995</v>
      </c>
      <c r="J31" s="2">
        <f t="shared" si="6"/>
        <v>34812371.239999995</v>
      </c>
      <c r="K31" s="2">
        <f t="shared" si="6"/>
        <v>19976627.24</v>
      </c>
      <c r="L31" s="2">
        <f t="shared" si="6"/>
        <v>19976627.24</v>
      </c>
      <c r="M31" s="2">
        <f t="shared" si="6"/>
        <v>19032827.24</v>
      </c>
      <c r="N31" s="2">
        <f t="shared" si="6"/>
        <v>14785727.239999998</v>
      </c>
      <c r="O31" s="2">
        <f t="shared" si="6"/>
        <v>14785727.239999998</v>
      </c>
      <c r="P31" s="2">
        <f t="shared" si="6"/>
        <v>14785727.239999998</v>
      </c>
      <c r="Q31" s="2">
        <f t="shared" si="6"/>
        <v>14785727.239999998</v>
      </c>
      <c r="R31" s="2">
        <f t="shared" si="6"/>
        <v>14785727.239999998</v>
      </c>
      <c r="S31" s="2">
        <f t="shared" si="6"/>
        <v>14785727.239999998</v>
      </c>
      <c r="T31" s="2">
        <f t="shared" si="6"/>
        <v>14785727.239999998</v>
      </c>
      <c r="U31" s="2">
        <f t="shared" si="6"/>
        <v>14785727.239999998</v>
      </c>
      <c r="V31" s="2">
        <f t="shared" si="6"/>
        <v>19442227.240000002</v>
      </c>
      <c r="W31" s="2"/>
      <c r="X31" s="2"/>
      <c r="Y31" s="2"/>
      <c r="Z31" s="2"/>
    </row>
    <row r="32" spans="1:26" s="7" customFormat="1" ht="12.75">
      <c r="A32" s="5" t="s">
        <v>58</v>
      </c>
      <c r="B32" s="13">
        <f>IRR(B31:V31)</f>
        <v>0.20488930347795578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4" spans="1:2" ht="12.75">
      <c r="A34" s="5" t="s">
        <v>16</v>
      </c>
      <c r="B34" s="13">
        <f>(B12-'Gangyuan IRR analysis'!B12)/'Gangyuan IRR analysis'!B12</f>
        <v>-0.1680162758039587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I10" sqref="I10"/>
    </sheetView>
  </sheetViews>
  <sheetFormatPr defaultColWidth="8.875" defaultRowHeight="14.25"/>
  <cols>
    <col min="1" max="1" width="31.50390625" style="0" customWidth="1"/>
  </cols>
  <sheetData>
    <row r="1" spans="1:26" s="7" customFormat="1" ht="34.5" customHeight="1">
      <c r="A1" s="1" t="s">
        <v>29</v>
      </c>
      <c r="B1" s="6" t="s">
        <v>30</v>
      </c>
      <c r="C1" s="2"/>
      <c r="D1" s="2" t="s">
        <v>65</v>
      </c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7" customFormat="1" ht="22.5">
      <c r="A2" s="2" t="s">
        <v>31</v>
      </c>
      <c r="B2" s="8">
        <v>30</v>
      </c>
      <c r="C2" s="2" t="s">
        <v>32</v>
      </c>
      <c r="D2" s="2" t="s">
        <v>66</v>
      </c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7" customFormat="1" ht="12.75">
      <c r="A3" s="2" t="s">
        <v>33</v>
      </c>
      <c r="B3" s="8">
        <v>189000000</v>
      </c>
      <c r="C3" s="2" t="s">
        <v>34</v>
      </c>
      <c r="D3" s="2" t="s">
        <v>66</v>
      </c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7" customFormat="1" ht="12.75">
      <c r="A4" s="2" t="s">
        <v>35</v>
      </c>
      <c r="B4" s="22">
        <v>0.2235019005717313</v>
      </c>
      <c r="C4" s="2" t="s">
        <v>36</v>
      </c>
      <c r="D4" s="2" t="s">
        <v>12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7" customFormat="1" ht="12.75">
      <c r="A5" s="2" t="s">
        <v>37</v>
      </c>
      <c r="B5" s="22">
        <f>B4*1.17</f>
        <v>0.26149722366892564</v>
      </c>
      <c r="C5" s="2" t="s">
        <v>36</v>
      </c>
      <c r="D5" s="2" t="s">
        <v>12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7" customFormat="1" ht="12.75">
      <c r="A6" s="2" t="s">
        <v>38</v>
      </c>
      <c r="B6" s="10">
        <v>0.08</v>
      </c>
      <c r="C6" s="2"/>
      <c r="D6" s="2" t="s">
        <v>67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7" customFormat="1" ht="12.75">
      <c r="A7" s="2" t="s">
        <v>39</v>
      </c>
      <c r="B7" s="10">
        <v>0.17</v>
      </c>
      <c r="C7" s="2"/>
      <c r="D7" s="2" t="s">
        <v>68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7" customFormat="1" ht="12.75">
      <c r="A8" s="2" t="s">
        <v>40</v>
      </c>
      <c r="B8" s="10">
        <v>0.33</v>
      </c>
      <c r="C8" s="2"/>
      <c r="D8" s="2" t="s">
        <v>69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7" customFormat="1" ht="22.5">
      <c r="A9" s="2" t="s">
        <v>41</v>
      </c>
      <c r="B9" s="11">
        <v>0.9812</v>
      </c>
      <c r="C9" s="2" t="s">
        <v>42</v>
      </c>
      <c r="D9" s="2" t="s">
        <v>70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7" customFormat="1" ht="12.75">
      <c r="A10" s="2" t="s">
        <v>43</v>
      </c>
      <c r="B10" s="2">
        <f>B3*B9/1000</f>
        <v>185446.8</v>
      </c>
      <c r="C10" s="2" t="s">
        <v>44</v>
      </c>
      <c r="D10" s="2" t="s">
        <v>71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7" customFormat="1" ht="12.75">
      <c r="A11" s="2" t="s">
        <v>45</v>
      </c>
      <c r="B11" s="8">
        <v>80</v>
      </c>
      <c r="C11" s="2" t="s">
        <v>36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7" customFormat="1" ht="12.75">
      <c r="A12" s="2" t="s">
        <v>46</v>
      </c>
      <c r="B12" s="8">
        <f>B20+C20</f>
        <v>162460000</v>
      </c>
      <c r="C12" s="2" t="s">
        <v>36</v>
      </c>
      <c r="D12" s="2" t="s">
        <v>72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7" customFormat="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7" customFormat="1" ht="12.75">
      <c r="A14" s="1" t="s">
        <v>47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7" customFormat="1" ht="24" customHeight="1">
      <c r="A15" s="3" t="s">
        <v>48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2"/>
      <c r="X15" s="2"/>
      <c r="Y15" s="2"/>
      <c r="Z15" s="2"/>
    </row>
    <row r="16" spans="1:26" s="7" customFormat="1" ht="22.5">
      <c r="A16" s="4" t="s">
        <v>49</v>
      </c>
      <c r="B16" s="12"/>
      <c r="C16" s="12">
        <f>D16*669/3686</f>
        <v>7666794.305531817</v>
      </c>
      <c r="D16" s="12">
        <f>B3*B4</f>
        <v>42241859.20805722</v>
      </c>
      <c r="E16" s="12">
        <f aca="true" t="shared" si="0" ref="E16:V16">D16</f>
        <v>42241859.20805722</v>
      </c>
      <c r="F16" s="12">
        <f t="shared" si="0"/>
        <v>42241859.20805722</v>
      </c>
      <c r="G16" s="12">
        <f t="shared" si="0"/>
        <v>42241859.20805722</v>
      </c>
      <c r="H16" s="12">
        <f t="shared" si="0"/>
        <v>42241859.20805722</v>
      </c>
      <c r="I16" s="12">
        <f t="shared" si="0"/>
        <v>42241859.20805722</v>
      </c>
      <c r="J16" s="12">
        <f t="shared" si="0"/>
        <v>42241859.20805722</v>
      </c>
      <c r="K16" s="12">
        <f t="shared" si="0"/>
        <v>42241859.20805722</v>
      </c>
      <c r="L16" s="12">
        <f t="shared" si="0"/>
        <v>42241859.20805722</v>
      </c>
      <c r="M16" s="12">
        <f t="shared" si="0"/>
        <v>42241859.20805722</v>
      </c>
      <c r="N16" s="12">
        <f t="shared" si="0"/>
        <v>42241859.20805722</v>
      </c>
      <c r="O16" s="12">
        <f t="shared" si="0"/>
        <v>42241859.20805722</v>
      </c>
      <c r="P16" s="12">
        <f t="shared" si="0"/>
        <v>42241859.20805722</v>
      </c>
      <c r="Q16" s="12">
        <f t="shared" si="0"/>
        <v>42241859.20805722</v>
      </c>
      <c r="R16" s="12">
        <f t="shared" si="0"/>
        <v>42241859.20805722</v>
      </c>
      <c r="S16" s="12">
        <f t="shared" si="0"/>
        <v>42241859.20805722</v>
      </c>
      <c r="T16" s="12">
        <f t="shared" si="0"/>
        <v>42241859.20805722</v>
      </c>
      <c r="U16" s="12">
        <f t="shared" si="0"/>
        <v>42241859.20805722</v>
      </c>
      <c r="V16" s="12">
        <f t="shared" si="0"/>
        <v>42241859.20805722</v>
      </c>
      <c r="W16" s="2"/>
      <c r="X16" s="2"/>
      <c r="Y16" s="2"/>
      <c r="Z16" s="2"/>
    </row>
    <row r="17" spans="1:26" s="7" customFormat="1" ht="12.75">
      <c r="A17" s="2" t="s">
        <v>50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5170000</v>
      </c>
      <c r="W17" s="2"/>
      <c r="X17" s="2"/>
      <c r="Y17" s="2"/>
      <c r="Z17" s="2"/>
    </row>
    <row r="18" spans="1:26" s="7" customFormat="1" ht="12.75">
      <c r="A18" s="2" t="s">
        <v>51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1780000</v>
      </c>
      <c r="W18" s="2"/>
      <c r="X18" s="2"/>
      <c r="Y18" s="2"/>
      <c r="Z18" s="2"/>
    </row>
    <row r="19" spans="1:26" s="7" customFormat="1" ht="22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7" customFormat="1" ht="12.75">
      <c r="A20" s="2" t="s">
        <v>52</v>
      </c>
      <c r="B20" s="8">
        <v>56860000</v>
      </c>
      <c r="C20" s="8">
        <v>105600000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7" customFormat="1" ht="12.75">
      <c r="A21" s="2" t="s">
        <v>53</v>
      </c>
      <c r="B21" s="8">
        <v>980000</v>
      </c>
      <c r="C21" s="8">
        <v>810000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7" customFormat="1" ht="12.75">
      <c r="A22" s="2" t="s">
        <v>22</v>
      </c>
      <c r="B22" s="2"/>
      <c r="C22" s="8">
        <f>6520000</f>
        <v>6520000</v>
      </c>
      <c r="D22" s="8">
        <f>14320000</f>
        <v>14320000</v>
      </c>
      <c r="E22" s="8">
        <f aca="true" t="shared" si="1" ref="E22:U22">D22</f>
        <v>14320000</v>
      </c>
      <c r="F22" s="8">
        <f t="shared" si="1"/>
        <v>14320000</v>
      </c>
      <c r="G22" s="8">
        <f t="shared" si="1"/>
        <v>14320000</v>
      </c>
      <c r="H22" s="8">
        <f t="shared" si="1"/>
        <v>14320000</v>
      </c>
      <c r="I22" s="8">
        <f t="shared" si="1"/>
        <v>14320000</v>
      </c>
      <c r="J22" s="8">
        <f t="shared" si="1"/>
        <v>14320000</v>
      </c>
      <c r="K22" s="8">
        <f t="shared" si="1"/>
        <v>14320000</v>
      </c>
      <c r="L22" s="8">
        <f t="shared" si="1"/>
        <v>14320000</v>
      </c>
      <c r="M22" s="8">
        <f t="shared" si="1"/>
        <v>14320000</v>
      </c>
      <c r="N22" s="8">
        <f t="shared" si="1"/>
        <v>14320000</v>
      </c>
      <c r="O22" s="8">
        <f t="shared" si="1"/>
        <v>14320000</v>
      </c>
      <c r="P22" s="8">
        <f t="shared" si="1"/>
        <v>14320000</v>
      </c>
      <c r="Q22" s="8">
        <f t="shared" si="1"/>
        <v>14320000</v>
      </c>
      <c r="R22" s="8">
        <f t="shared" si="1"/>
        <v>14320000</v>
      </c>
      <c r="S22" s="8">
        <f t="shared" si="1"/>
        <v>14320000</v>
      </c>
      <c r="T22" s="8">
        <f t="shared" si="1"/>
        <v>14320000</v>
      </c>
      <c r="U22" s="8">
        <f t="shared" si="1"/>
        <v>14320000</v>
      </c>
      <c r="V22" s="8">
        <f>U22</f>
        <v>14320000</v>
      </c>
      <c r="W22" s="2"/>
      <c r="X22" s="2"/>
      <c r="Y22" s="2"/>
      <c r="Z22" s="2"/>
    </row>
    <row r="23" spans="1:26" s="7" customFormat="1" ht="12.75">
      <c r="A23" s="2" t="s">
        <v>38</v>
      </c>
      <c r="B23" s="2"/>
      <c r="C23" s="2">
        <f>C16*B6*B7</f>
        <v>104268.40255523272</v>
      </c>
      <c r="D23" s="2">
        <f>D16*$B7*$B6</f>
        <v>574489.2852295781</v>
      </c>
      <c r="E23" s="2">
        <f>E16*$B7*$B6</f>
        <v>574489.2852295781</v>
      </c>
      <c r="F23" s="2">
        <f aca="true" t="shared" si="2" ref="F23:U23">F16*$B7*$B6</f>
        <v>574489.2852295781</v>
      </c>
      <c r="G23" s="2">
        <f t="shared" si="2"/>
        <v>574489.2852295781</v>
      </c>
      <c r="H23" s="2">
        <f t="shared" si="2"/>
        <v>574489.2852295781</v>
      </c>
      <c r="I23" s="2">
        <f t="shared" si="2"/>
        <v>574489.2852295781</v>
      </c>
      <c r="J23" s="2">
        <f t="shared" si="2"/>
        <v>574489.2852295781</v>
      </c>
      <c r="K23" s="2">
        <f t="shared" si="2"/>
        <v>574489.2852295781</v>
      </c>
      <c r="L23" s="2">
        <f t="shared" si="2"/>
        <v>574489.2852295781</v>
      </c>
      <c r="M23" s="2">
        <f t="shared" si="2"/>
        <v>574489.2852295781</v>
      </c>
      <c r="N23" s="2">
        <f t="shared" si="2"/>
        <v>574489.2852295781</v>
      </c>
      <c r="O23" s="2">
        <f t="shared" si="2"/>
        <v>574489.2852295781</v>
      </c>
      <c r="P23" s="2">
        <f t="shared" si="2"/>
        <v>574489.2852295781</v>
      </c>
      <c r="Q23" s="2">
        <f t="shared" si="2"/>
        <v>574489.2852295781</v>
      </c>
      <c r="R23" s="2">
        <f t="shared" si="2"/>
        <v>574489.2852295781</v>
      </c>
      <c r="S23" s="2">
        <f t="shared" si="2"/>
        <v>574489.2852295781</v>
      </c>
      <c r="T23" s="2">
        <f t="shared" si="2"/>
        <v>574489.2852295781</v>
      </c>
      <c r="U23" s="2">
        <f t="shared" si="2"/>
        <v>574489.2852295781</v>
      </c>
      <c r="V23" s="2">
        <f>V16*$B7*$B6</f>
        <v>574489.2852295781</v>
      </c>
      <c r="W23" s="2"/>
      <c r="X23" s="2"/>
      <c r="Y23" s="2"/>
      <c r="Z23" s="2"/>
    </row>
    <row r="24" spans="1:26" s="7" customFormat="1" ht="12.75">
      <c r="A24" s="2" t="s">
        <v>60</v>
      </c>
      <c r="B24" s="2"/>
      <c r="C24" s="8">
        <f>'Total cost breakdown'!E24*10000</f>
        <v>9770000</v>
      </c>
      <c r="D24" s="8">
        <f>'Total cost breakdown'!F24*10000</f>
        <v>36080000</v>
      </c>
      <c r="E24" s="8">
        <f>'Total cost breakdown'!G24*10000</f>
        <v>35250000</v>
      </c>
      <c r="F24" s="8">
        <f>'Total cost breakdown'!H24*10000</f>
        <v>34310000</v>
      </c>
      <c r="G24" s="8">
        <f>'Total cost breakdown'!I24*10000</f>
        <v>33290000</v>
      </c>
      <c r="H24" s="8">
        <f>'Total cost breakdown'!J24*10000</f>
        <v>32300000</v>
      </c>
      <c r="I24" s="8">
        <f>'Total cost breakdown'!K24*10000</f>
        <v>31250000</v>
      </c>
      <c r="J24" s="8">
        <f>'Total cost breakdown'!L24*10000</f>
        <v>30120000</v>
      </c>
      <c r="K24" s="8">
        <f>'Total cost breakdown'!M24*10000</f>
        <v>30120000</v>
      </c>
      <c r="L24" s="8">
        <f>'Total cost breakdown'!N24*10000</f>
        <v>30120000</v>
      </c>
      <c r="M24" s="8">
        <f>'Total cost breakdown'!O24*10000</f>
        <v>27260000</v>
      </c>
      <c r="N24" s="8">
        <f>'Total cost breakdown'!P24*10000</f>
        <v>14390000</v>
      </c>
      <c r="O24" s="8">
        <f>'Total cost breakdown'!Q24*10000</f>
        <v>14390000</v>
      </c>
      <c r="P24" s="8">
        <f>'Total cost breakdown'!R24*10000</f>
        <v>14390000</v>
      </c>
      <c r="Q24" s="8">
        <f>'Total cost breakdown'!S24*10000</f>
        <v>14390000</v>
      </c>
      <c r="R24" s="8">
        <f>'Total cost breakdown'!T24*10000</f>
        <v>14390000</v>
      </c>
      <c r="S24" s="8">
        <f>'Total cost breakdown'!U24*10000</f>
        <v>14390000</v>
      </c>
      <c r="T24" s="8">
        <f>'Total cost breakdown'!V24*10000</f>
        <v>14390000</v>
      </c>
      <c r="U24" s="8">
        <f>'Total cost breakdown'!W24*10000</f>
        <v>14390000</v>
      </c>
      <c r="V24" s="8">
        <f>'Total cost breakdown'!X24*10000</f>
        <v>14390000</v>
      </c>
      <c r="W24" s="2"/>
      <c r="X24" s="2"/>
      <c r="Y24" s="2"/>
      <c r="Z24" s="2"/>
    </row>
    <row r="25" spans="1:26" s="7" customFormat="1" ht="12.75">
      <c r="A25" s="2" t="s">
        <v>54</v>
      </c>
      <c r="B25" s="2"/>
      <c r="C25" s="2">
        <f aca="true" t="shared" si="3" ref="C25:U25">C16-C23-C24</f>
        <v>-2207474.0970234163</v>
      </c>
      <c r="D25" s="2">
        <f t="shared" si="3"/>
        <v>5587369.922827639</v>
      </c>
      <c r="E25" s="2">
        <f t="shared" si="3"/>
        <v>6417369.922827639</v>
      </c>
      <c r="F25" s="2">
        <f t="shared" si="3"/>
        <v>7357369.922827639</v>
      </c>
      <c r="G25" s="2">
        <f t="shared" si="3"/>
        <v>8377369.922827639</v>
      </c>
      <c r="H25" s="2">
        <f t="shared" si="3"/>
        <v>9367369.922827639</v>
      </c>
      <c r="I25" s="2">
        <f t="shared" si="3"/>
        <v>10417369.922827639</v>
      </c>
      <c r="J25" s="2">
        <f t="shared" si="3"/>
        <v>11547369.922827639</v>
      </c>
      <c r="K25" s="2">
        <f t="shared" si="3"/>
        <v>11547369.922827639</v>
      </c>
      <c r="L25" s="2">
        <f t="shared" si="3"/>
        <v>11547369.922827639</v>
      </c>
      <c r="M25" s="2">
        <f t="shared" si="3"/>
        <v>14407369.922827639</v>
      </c>
      <c r="N25" s="2">
        <f t="shared" si="3"/>
        <v>27277369.92282764</v>
      </c>
      <c r="O25" s="2">
        <f t="shared" si="3"/>
        <v>27277369.92282764</v>
      </c>
      <c r="P25" s="2">
        <f t="shared" si="3"/>
        <v>27277369.92282764</v>
      </c>
      <c r="Q25" s="2">
        <f t="shared" si="3"/>
        <v>27277369.92282764</v>
      </c>
      <c r="R25" s="2">
        <f t="shared" si="3"/>
        <v>27277369.92282764</v>
      </c>
      <c r="S25" s="2">
        <f t="shared" si="3"/>
        <v>27277369.92282764</v>
      </c>
      <c r="T25" s="2">
        <f t="shared" si="3"/>
        <v>27277369.92282764</v>
      </c>
      <c r="U25" s="2">
        <f t="shared" si="3"/>
        <v>27277369.92282764</v>
      </c>
      <c r="V25" s="2">
        <f>V16+V17+V18-V23-V24</f>
        <v>34227369.92282764</v>
      </c>
      <c r="W25" s="2"/>
      <c r="X25" s="2"/>
      <c r="Y25" s="2"/>
      <c r="Z25" s="2"/>
    </row>
    <row r="26" spans="1:26" s="7" customFormat="1" ht="22.5">
      <c r="A26" s="2" t="s">
        <v>40</v>
      </c>
      <c r="B26" s="2"/>
      <c r="C26" s="2"/>
      <c r="D26" s="2">
        <f>D25*B8</f>
        <v>1843832.074533121</v>
      </c>
      <c r="E26" s="2">
        <f>E25*B8</f>
        <v>2117732.0745331207</v>
      </c>
      <c r="F26" s="2">
        <f>F25*B8</f>
        <v>2427932.0745331207</v>
      </c>
      <c r="G26" s="2">
        <f>G25*B8</f>
        <v>2764532.0745331207</v>
      </c>
      <c r="H26" s="2">
        <f>H25*B8</f>
        <v>3091232.0745331207</v>
      </c>
      <c r="I26" s="2">
        <f>I25*B8</f>
        <v>3437732.0745331207</v>
      </c>
      <c r="J26" s="2">
        <f>J25*B8</f>
        <v>3810632.0745331207</v>
      </c>
      <c r="K26" s="2">
        <f>K25*B8</f>
        <v>3810632.0745331207</v>
      </c>
      <c r="L26" s="2">
        <f>L25*B8</f>
        <v>3810632.0745331207</v>
      </c>
      <c r="M26" s="2">
        <f>M25*B8</f>
        <v>4754432.074533121</v>
      </c>
      <c r="N26" s="2">
        <f>N25*B8</f>
        <v>9001532.074533122</v>
      </c>
      <c r="O26" s="2">
        <f>O25*B8</f>
        <v>9001532.074533122</v>
      </c>
      <c r="P26" s="2">
        <f>P25*B8</f>
        <v>9001532.074533122</v>
      </c>
      <c r="Q26" s="2">
        <f>Q25*B8</f>
        <v>9001532.074533122</v>
      </c>
      <c r="R26" s="2">
        <f>R25*B8</f>
        <v>9001532.074533122</v>
      </c>
      <c r="S26" s="2">
        <f>S25*B8</f>
        <v>9001532.074533122</v>
      </c>
      <c r="T26" s="2">
        <f>T25*B8</f>
        <v>9001532.074533122</v>
      </c>
      <c r="U26" s="2">
        <f>U25*B8</f>
        <v>9001532.074533122</v>
      </c>
      <c r="V26" s="2">
        <f>V25*B8</f>
        <v>11295032.074533122</v>
      </c>
      <c r="W26" s="2"/>
      <c r="X26" s="2"/>
      <c r="Y26" s="2"/>
      <c r="Z26" s="2"/>
    </row>
    <row r="27" spans="1:26" s="7" customFormat="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7" customFormat="1" ht="12.75">
      <c r="A28" s="2" t="s">
        <v>55</v>
      </c>
      <c r="B28" s="2">
        <f>0-B20-B21</f>
        <v>-57840000</v>
      </c>
      <c r="C28" s="2">
        <f>C16-C20-C21-C22-C23-C26</f>
        <v>-105367474.09702341</v>
      </c>
      <c r="D28" s="2">
        <f aca="true" t="shared" si="4" ref="D28:U28">D16-D22-D23-D26</f>
        <v>25503537.84829452</v>
      </c>
      <c r="E28" s="2">
        <f t="shared" si="4"/>
        <v>25229637.84829452</v>
      </c>
      <c r="F28" s="2">
        <f t="shared" si="4"/>
        <v>24919437.84829452</v>
      </c>
      <c r="G28" s="2">
        <f t="shared" si="4"/>
        <v>24582837.84829452</v>
      </c>
      <c r="H28" s="2">
        <f t="shared" si="4"/>
        <v>24256137.84829452</v>
      </c>
      <c r="I28" s="2">
        <f t="shared" si="4"/>
        <v>23909637.84829452</v>
      </c>
      <c r="J28" s="2">
        <f t="shared" si="4"/>
        <v>23536737.84829452</v>
      </c>
      <c r="K28" s="2">
        <f t="shared" si="4"/>
        <v>23536737.84829452</v>
      </c>
      <c r="L28" s="2">
        <f t="shared" si="4"/>
        <v>23536737.84829452</v>
      </c>
      <c r="M28" s="2">
        <f t="shared" si="4"/>
        <v>22592937.84829452</v>
      </c>
      <c r="N28" s="2">
        <f t="shared" si="4"/>
        <v>18345837.84829452</v>
      </c>
      <c r="O28" s="2">
        <f t="shared" si="4"/>
        <v>18345837.84829452</v>
      </c>
      <c r="P28" s="2">
        <f t="shared" si="4"/>
        <v>18345837.84829452</v>
      </c>
      <c r="Q28" s="2">
        <f t="shared" si="4"/>
        <v>18345837.84829452</v>
      </c>
      <c r="R28" s="2">
        <f t="shared" si="4"/>
        <v>18345837.84829452</v>
      </c>
      <c r="S28" s="2">
        <f t="shared" si="4"/>
        <v>18345837.84829452</v>
      </c>
      <c r="T28" s="2">
        <f t="shared" si="4"/>
        <v>18345837.84829452</v>
      </c>
      <c r="U28" s="2">
        <f t="shared" si="4"/>
        <v>18345837.84829452</v>
      </c>
      <c r="V28" s="2">
        <f>V16+V17+V18-V22-V23-V26</f>
        <v>23002337.84829452</v>
      </c>
      <c r="W28" s="2"/>
      <c r="X28" s="2"/>
      <c r="Y28" s="2"/>
      <c r="Z28" s="2"/>
    </row>
    <row r="29" spans="1:26" s="7" customFormat="1" ht="12.75">
      <c r="A29" s="5" t="s">
        <v>59</v>
      </c>
      <c r="B29" s="13">
        <f>IRR(B28:V28)</f>
        <v>0.11990343961195361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7" customFormat="1" ht="12.75">
      <c r="A30" s="2" t="s">
        <v>56</v>
      </c>
      <c r="B30" s="2"/>
      <c r="C30" s="2"/>
      <c r="D30" s="2">
        <f>B10*B11</f>
        <v>14835744</v>
      </c>
      <c r="E30" s="2">
        <f aca="true" t="shared" si="5" ref="E30:J30">D30</f>
        <v>14835744</v>
      </c>
      <c r="F30" s="2">
        <f t="shared" si="5"/>
        <v>14835744</v>
      </c>
      <c r="G30" s="2">
        <f t="shared" si="5"/>
        <v>14835744</v>
      </c>
      <c r="H30" s="2">
        <f t="shared" si="5"/>
        <v>14835744</v>
      </c>
      <c r="I30" s="2">
        <f t="shared" si="5"/>
        <v>14835744</v>
      </c>
      <c r="J30" s="2">
        <f t="shared" si="5"/>
        <v>14835744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7" customFormat="1" ht="12.75">
      <c r="A31" s="2" t="s">
        <v>57</v>
      </c>
      <c r="B31" s="2">
        <f aca="true" t="shared" si="6" ref="B31:V31">B28+B30</f>
        <v>-57840000</v>
      </c>
      <c r="C31" s="2">
        <f t="shared" si="6"/>
        <v>-105367474.09702341</v>
      </c>
      <c r="D31" s="2">
        <f t="shared" si="6"/>
        <v>40339281.84829452</v>
      </c>
      <c r="E31" s="2">
        <f t="shared" si="6"/>
        <v>40065381.84829452</v>
      </c>
      <c r="F31" s="2">
        <f t="shared" si="6"/>
        <v>39755181.84829452</v>
      </c>
      <c r="G31" s="2">
        <f t="shared" si="6"/>
        <v>39418581.84829452</v>
      </c>
      <c r="H31" s="2">
        <f t="shared" si="6"/>
        <v>39091881.84829452</v>
      </c>
      <c r="I31" s="2">
        <f t="shared" si="6"/>
        <v>38745381.84829452</v>
      </c>
      <c r="J31" s="2">
        <f t="shared" si="6"/>
        <v>38372481.84829452</v>
      </c>
      <c r="K31" s="2">
        <f t="shared" si="6"/>
        <v>23536737.84829452</v>
      </c>
      <c r="L31" s="2">
        <f t="shared" si="6"/>
        <v>23536737.84829452</v>
      </c>
      <c r="M31" s="2">
        <f t="shared" si="6"/>
        <v>22592937.84829452</v>
      </c>
      <c r="N31" s="2">
        <f t="shared" si="6"/>
        <v>18345837.84829452</v>
      </c>
      <c r="O31" s="2">
        <f t="shared" si="6"/>
        <v>18345837.84829452</v>
      </c>
      <c r="P31" s="2">
        <f t="shared" si="6"/>
        <v>18345837.84829452</v>
      </c>
      <c r="Q31" s="2">
        <f t="shared" si="6"/>
        <v>18345837.84829452</v>
      </c>
      <c r="R31" s="2">
        <f t="shared" si="6"/>
        <v>18345837.84829452</v>
      </c>
      <c r="S31" s="2">
        <f t="shared" si="6"/>
        <v>18345837.84829452</v>
      </c>
      <c r="T31" s="2">
        <f t="shared" si="6"/>
        <v>18345837.84829452</v>
      </c>
      <c r="U31" s="2">
        <f t="shared" si="6"/>
        <v>18345837.84829452</v>
      </c>
      <c r="V31" s="2">
        <f t="shared" si="6"/>
        <v>23002337.84829452</v>
      </c>
      <c r="W31" s="2"/>
      <c r="X31" s="2"/>
      <c r="Y31" s="2"/>
      <c r="Z31" s="2"/>
    </row>
    <row r="32" spans="1:26" s="7" customFormat="1" ht="12.75">
      <c r="A32" s="5" t="s">
        <v>58</v>
      </c>
      <c r="B32" s="13">
        <f>IRR(B31:V31)</f>
        <v>0.19129458035095034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4" spans="1:2" ht="14.25">
      <c r="A34" s="5" t="s">
        <v>17</v>
      </c>
      <c r="B34" s="13">
        <f>(B4-'Gangyuan IRR analysis'!B4)/'Gangyuan IRR analysis'!B4</f>
        <v>0.1461635926755451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B29" sqref="B29"/>
    </sheetView>
  </sheetViews>
  <sheetFormatPr defaultColWidth="8.875" defaultRowHeight="14.25"/>
  <cols>
    <col min="1" max="1" width="37.125" style="0" customWidth="1"/>
  </cols>
  <sheetData>
    <row r="1" spans="1:26" s="7" customFormat="1" ht="34.5" customHeight="1">
      <c r="A1" s="1" t="s">
        <v>29</v>
      </c>
      <c r="B1" s="6" t="s">
        <v>30</v>
      </c>
      <c r="C1" s="2"/>
      <c r="D1" s="2" t="s">
        <v>65</v>
      </c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7" customFormat="1" ht="22.5">
      <c r="A2" s="2" t="s">
        <v>31</v>
      </c>
      <c r="B2" s="8">
        <v>30</v>
      </c>
      <c r="C2" s="2" t="s">
        <v>32</v>
      </c>
      <c r="D2" s="2" t="s">
        <v>66</v>
      </c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7" customFormat="1" ht="22.5">
      <c r="A3" s="2" t="s">
        <v>33</v>
      </c>
      <c r="B3" s="8">
        <v>189000000</v>
      </c>
      <c r="C3" s="2" t="s">
        <v>34</v>
      </c>
      <c r="D3" s="2" t="s">
        <v>66</v>
      </c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7" customFormat="1" ht="12.75">
      <c r="A4" s="2" t="s">
        <v>35</v>
      </c>
      <c r="B4" s="9">
        <v>0.195</v>
      </c>
      <c r="C4" s="2" t="s">
        <v>36</v>
      </c>
      <c r="D4" s="2" t="s">
        <v>12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7" customFormat="1" ht="12.75">
      <c r="A5" s="2" t="s">
        <v>37</v>
      </c>
      <c r="B5" s="22">
        <f>B4*1.17</f>
        <v>0.22815</v>
      </c>
      <c r="C5" s="2" t="s">
        <v>36</v>
      </c>
      <c r="D5" s="2" t="s">
        <v>12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7" customFormat="1" ht="12.75">
      <c r="A6" s="2" t="s">
        <v>38</v>
      </c>
      <c r="B6" s="10">
        <v>0.08</v>
      </c>
      <c r="C6" s="2"/>
      <c r="D6" s="2" t="s">
        <v>67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7" customFormat="1" ht="12.75">
      <c r="A7" s="2" t="s">
        <v>39</v>
      </c>
      <c r="B7" s="10">
        <v>0.17</v>
      </c>
      <c r="C7" s="2"/>
      <c r="D7" s="2" t="s">
        <v>68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7" customFormat="1" ht="12.75">
      <c r="A8" s="2" t="s">
        <v>40</v>
      </c>
      <c r="B8" s="10">
        <v>0.33</v>
      </c>
      <c r="C8" s="2"/>
      <c r="D8" s="2" t="s">
        <v>69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7" customFormat="1" ht="12.75">
      <c r="A9" s="2" t="s">
        <v>41</v>
      </c>
      <c r="B9" s="11">
        <v>0.9812</v>
      </c>
      <c r="C9" s="2" t="s">
        <v>42</v>
      </c>
      <c r="D9" s="2" t="s">
        <v>70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7" customFormat="1" ht="12.75">
      <c r="A10" s="2" t="s">
        <v>43</v>
      </c>
      <c r="B10" s="2">
        <f>B3*B9/1000</f>
        <v>185446.8</v>
      </c>
      <c r="C10" s="2" t="s">
        <v>44</v>
      </c>
      <c r="D10" s="2" t="s">
        <v>71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7" customFormat="1" ht="12.75">
      <c r="A11" s="2" t="s">
        <v>45</v>
      </c>
      <c r="B11" s="8">
        <v>80</v>
      </c>
      <c r="C11" s="2" t="s">
        <v>36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7" customFormat="1" ht="12.75">
      <c r="A12" s="2" t="s">
        <v>46</v>
      </c>
      <c r="B12" s="8">
        <f>B20+C20</f>
        <v>162460000</v>
      </c>
      <c r="C12" s="2" t="s">
        <v>36</v>
      </c>
      <c r="D12" s="2" t="s">
        <v>72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7" customFormat="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7" customFormat="1" ht="12.75">
      <c r="A14" s="1" t="s">
        <v>47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7" customFormat="1" ht="24" customHeight="1">
      <c r="A15" s="3" t="s">
        <v>48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2"/>
      <c r="X15" s="2"/>
      <c r="Y15" s="2"/>
      <c r="Z15" s="2"/>
    </row>
    <row r="16" spans="1:26" s="7" customFormat="1" ht="12.75">
      <c r="A16" s="4" t="s">
        <v>49</v>
      </c>
      <c r="B16" s="12"/>
      <c r="C16" s="12">
        <f>D16*669/3686</f>
        <v>6689092.512208356</v>
      </c>
      <c r="D16" s="12">
        <f>B3*B4</f>
        <v>36855000</v>
      </c>
      <c r="E16" s="12">
        <f aca="true" t="shared" si="0" ref="E16:V16">D16</f>
        <v>36855000</v>
      </c>
      <c r="F16" s="12">
        <f t="shared" si="0"/>
        <v>36855000</v>
      </c>
      <c r="G16" s="12">
        <f t="shared" si="0"/>
        <v>36855000</v>
      </c>
      <c r="H16" s="12">
        <f t="shared" si="0"/>
        <v>36855000</v>
      </c>
      <c r="I16" s="12">
        <f t="shared" si="0"/>
        <v>36855000</v>
      </c>
      <c r="J16" s="12">
        <f t="shared" si="0"/>
        <v>36855000</v>
      </c>
      <c r="K16" s="12">
        <f t="shared" si="0"/>
        <v>36855000</v>
      </c>
      <c r="L16" s="12">
        <f t="shared" si="0"/>
        <v>36855000</v>
      </c>
      <c r="M16" s="12">
        <f t="shared" si="0"/>
        <v>36855000</v>
      </c>
      <c r="N16" s="12">
        <f t="shared" si="0"/>
        <v>36855000</v>
      </c>
      <c r="O16" s="12">
        <f t="shared" si="0"/>
        <v>36855000</v>
      </c>
      <c r="P16" s="12">
        <f t="shared" si="0"/>
        <v>36855000</v>
      </c>
      <c r="Q16" s="12">
        <f t="shared" si="0"/>
        <v>36855000</v>
      </c>
      <c r="R16" s="12">
        <f t="shared" si="0"/>
        <v>36855000</v>
      </c>
      <c r="S16" s="12">
        <f t="shared" si="0"/>
        <v>36855000</v>
      </c>
      <c r="T16" s="12">
        <f t="shared" si="0"/>
        <v>36855000</v>
      </c>
      <c r="U16" s="12">
        <f t="shared" si="0"/>
        <v>36855000</v>
      </c>
      <c r="V16" s="12">
        <f t="shared" si="0"/>
        <v>36855000</v>
      </c>
      <c r="W16" s="2"/>
      <c r="X16" s="2"/>
      <c r="Y16" s="2"/>
      <c r="Z16" s="2"/>
    </row>
    <row r="17" spans="1:26" s="7" customFormat="1" ht="12.75">
      <c r="A17" s="2" t="s">
        <v>50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5170000</v>
      </c>
      <c r="W17" s="2"/>
      <c r="X17" s="2"/>
      <c r="Y17" s="2"/>
      <c r="Z17" s="2"/>
    </row>
    <row r="18" spans="1:26" s="7" customFormat="1" ht="12.75">
      <c r="A18" s="2" t="s">
        <v>51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1780000</v>
      </c>
      <c r="W18" s="2"/>
      <c r="X18" s="2"/>
      <c r="Y18" s="2"/>
      <c r="Z18" s="2"/>
    </row>
    <row r="19" spans="1:26" s="7" customFormat="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7" customFormat="1" ht="12.75">
      <c r="A20" s="2" t="s">
        <v>52</v>
      </c>
      <c r="B20" s="8">
        <v>56860000</v>
      </c>
      <c r="C20" s="8">
        <v>105600000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7" customFormat="1" ht="12.75">
      <c r="A21" s="2" t="s">
        <v>53</v>
      </c>
      <c r="B21" s="8">
        <v>980000</v>
      </c>
      <c r="C21" s="8">
        <v>810000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7" customFormat="1" ht="12.75">
      <c r="A22" s="2" t="s">
        <v>22</v>
      </c>
      <c r="B22" s="2"/>
      <c r="C22" s="8">
        <f>6520000</f>
        <v>6520000</v>
      </c>
      <c r="D22" s="8">
        <v>10616531.72271496</v>
      </c>
      <c r="E22" s="8">
        <f aca="true" t="shared" si="1" ref="E22:V22">D22</f>
        <v>10616531.72271496</v>
      </c>
      <c r="F22" s="8">
        <f t="shared" si="1"/>
        <v>10616531.72271496</v>
      </c>
      <c r="G22" s="8">
        <f t="shared" si="1"/>
        <v>10616531.72271496</v>
      </c>
      <c r="H22" s="8">
        <f t="shared" si="1"/>
        <v>10616531.72271496</v>
      </c>
      <c r="I22" s="8">
        <f t="shared" si="1"/>
        <v>10616531.72271496</v>
      </c>
      <c r="J22" s="8">
        <f t="shared" si="1"/>
        <v>10616531.72271496</v>
      </c>
      <c r="K22" s="8">
        <f t="shared" si="1"/>
        <v>10616531.72271496</v>
      </c>
      <c r="L22" s="8">
        <f t="shared" si="1"/>
        <v>10616531.72271496</v>
      </c>
      <c r="M22" s="8">
        <f t="shared" si="1"/>
        <v>10616531.72271496</v>
      </c>
      <c r="N22" s="8">
        <f t="shared" si="1"/>
        <v>10616531.72271496</v>
      </c>
      <c r="O22" s="8">
        <f t="shared" si="1"/>
        <v>10616531.72271496</v>
      </c>
      <c r="P22" s="8">
        <f t="shared" si="1"/>
        <v>10616531.72271496</v>
      </c>
      <c r="Q22" s="8">
        <f t="shared" si="1"/>
        <v>10616531.72271496</v>
      </c>
      <c r="R22" s="8">
        <f t="shared" si="1"/>
        <v>10616531.72271496</v>
      </c>
      <c r="S22" s="8">
        <f t="shared" si="1"/>
        <v>10616531.72271496</v>
      </c>
      <c r="T22" s="8">
        <f t="shared" si="1"/>
        <v>10616531.72271496</v>
      </c>
      <c r="U22" s="8">
        <f t="shared" si="1"/>
        <v>10616531.72271496</v>
      </c>
      <c r="V22" s="8">
        <f t="shared" si="1"/>
        <v>10616531.72271496</v>
      </c>
      <c r="W22" s="2"/>
      <c r="X22" s="2"/>
      <c r="Y22" s="2"/>
      <c r="Z22" s="2"/>
    </row>
    <row r="23" spans="1:26" s="7" customFormat="1" ht="12.75">
      <c r="A23" s="2" t="s">
        <v>38</v>
      </c>
      <c r="B23" s="2"/>
      <c r="C23" s="2">
        <f>C16*B6*B7</f>
        <v>90971.65816603364</v>
      </c>
      <c r="D23" s="2">
        <f>D16*$B7*$B6</f>
        <v>501228</v>
      </c>
      <c r="E23" s="2">
        <f>E16*$B7*$B6</f>
        <v>501228</v>
      </c>
      <c r="F23" s="2">
        <f aca="true" t="shared" si="2" ref="F23:V23">F16*$B7*$B6</f>
        <v>501228</v>
      </c>
      <c r="G23" s="2">
        <f t="shared" si="2"/>
        <v>501228</v>
      </c>
      <c r="H23" s="2">
        <f t="shared" si="2"/>
        <v>501228</v>
      </c>
      <c r="I23" s="2">
        <f t="shared" si="2"/>
        <v>501228</v>
      </c>
      <c r="J23" s="2">
        <f t="shared" si="2"/>
        <v>501228</v>
      </c>
      <c r="K23" s="2">
        <f t="shared" si="2"/>
        <v>501228</v>
      </c>
      <c r="L23" s="2">
        <f t="shared" si="2"/>
        <v>501228</v>
      </c>
      <c r="M23" s="2">
        <f t="shared" si="2"/>
        <v>501228</v>
      </c>
      <c r="N23" s="2">
        <f t="shared" si="2"/>
        <v>501228</v>
      </c>
      <c r="O23" s="2">
        <f t="shared" si="2"/>
        <v>501228</v>
      </c>
      <c r="P23" s="2">
        <f t="shared" si="2"/>
        <v>501228</v>
      </c>
      <c r="Q23" s="2">
        <f t="shared" si="2"/>
        <v>501228</v>
      </c>
      <c r="R23" s="2">
        <f t="shared" si="2"/>
        <v>501228</v>
      </c>
      <c r="S23" s="2">
        <f t="shared" si="2"/>
        <v>501228</v>
      </c>
      <c r="T23" s="2">
        <f t="shared" si="2"/>
        <v>501228</v>
      </c>
      <c r="U23" s="2">
        <f t="shared" si="2"/>
        <v>501228</v>
      </c>
      <c r="V23" s="2">
        <f t="shared" si="2"/>
        <v>501228</v>
      </c>
      <c r="W23" s="2"/>
      <c r="X23" s="2"/>
      <c r="Y23" s="2"/>
      <c r="Z23" s="2"/>
    </row>
    <row r="24" spans="1:26" s="7" customFormat="1" ht="12.75">
      <c r="A24" s="2" t="s">
        <v>60</v>
      </c>
      <c r="B24" s="2"/>
      <c r="C24" s="8">
        <f>'Total cost breakdown'!E24*10000</f>
        <v>9770000</v>
      </c>
      <c r="D24" s="8">
        <f>'Total cost breakdown'!F24*10000</f>
        <v>36080000</v>
      </c>
      <c r="E24" s="8">
        <f>'Total cost breakdown'!G24*10000</f>
        <v>35250000</v>
      </c>
      <c r="F24" s="8">
        <f>'Total cost breakdown'!H24*10000</f>
        <v>34310000</v>
      </c>
      <c r="G24" s="8">
        <f>'Total cost breakdown'!I24*10000</f>
        <v>33290000</v>
      </c>
      <c r="H24" s="8">
        <f>'Total cost breakdown'!J24*10000</f>
        <v>32300000</v>
      </c>
      <c r="I24" s="8">
        <f>'Total cost breakdown'!K24*10000</f>
        <v>31250000</v>
      </c>
      <c r="J24" s="8">
        <f>'Total cost breakdown'!L24*10000</f>
        <v>30120000</v>
      </c>
      <c r="K24" s="8">
        <f>'Total cost breakdown'!M24*10000</f>
        <v>30120000</v>
      </c>
      <c r="L24" s="8">
        <f>'Total cost breakdown'!N24*10000</f>
        <v>30120000</v>
      </c>
      <c r="M24" s="8">
        <f>'Total cost breakdown'!O24*10000</f>
        <v>27260000</v>
      </c>
      <c r="N24" s="8">
        <f>'Total cost breakdown'!P24*10000</f>
        <v>14390000</v>
      </c>
      <c r="O24" s="8">
        <f>'Total cost breakdown'!Q24*10000</f>
        <v>14390000</v>
      </c>
      <c r="P24" s="8">
        <f>'Total cost breakdown'!R24*10000</f>
        <v>14390000</v>
      </c>
      <c r="Q24" s="8">
        <f>'Total cost breakdown'!S24*10000</f>
        <v>14390000</v>
      </c>
      <c r="R24" s="8">
        <f>'Total cost breakdown'!T24*10000</f>
        <v>14390000</v>
      </c>
      <c r="S24" s="8">
        <f>'Total cost breakdown'!U24*10000</f>
        <v>14390000</v>
      </c>
      <c r="T24" s="8">
        <f>'Total cost breakdown'!V24*10000</f>
        <v>14390000</v>
      </c>
      <c r="U24" s="8">
        <f>'Total cost breakdown'!W24*10000</f>
        <v>14390000</v>
      </c>
      <c r="V24" s="8">
        <f>'Total cost breakdown'!X24*10000</f>
        <v>14390000</v>
      </c>
      <c r="W24" s="2"/>
      <c r="X24" s="2"/>
      <c r="Y24" s="2"/>
      <c r="Z24" s="2"/>
    </row>
    <row r="25" spans="1:26" s="7" customFormat="1" ht="12.75">
      <c r="A25" s="2" t="s">
        <v>54</v>
      </c>
      <c r="B25" s="2"/>
      <c r="C25" s="2">
        <f aca="true" t="shared" si="3" ref="C25:U25">C16-C23-C24</f>
        <v>-3171879.1459576776</v>
      </c>
      <c r="D25" s="2">
        <f t="shared" si="3"/>
        <v>273772</v>
      </c>
      <c r="E25" s="2">
        <f t="shared" si="3"/>
        <v>1103772</v>
      </c>
      <c r="F25" s="2">
        <f t="shared" si="3"/>
        <v>2043772</v>
      </c>
      <c r="G25" s="2">
        <f t="shared" si="3"/>
        <v>3063772</v>
      </c>
      <c r="H25" s="2">
        <f t="shared" si="3"/>
        <v>4053772</v>
      </c>
      <c r="I25" s="2">
        <f t="shared" si="3"/>
        <v>5103772</v>
      </c>
      <c r="J25" s="2">
        <f t="shared" si="3"/>
        <v>6233772</v>
      </c>
      <c r="K25" s="2">
        <f t="shared" si="3"/>
        <v>6233772</v>
      </c>
      <c r="L25" s="2">
        <f t="shared" si="3"/>
        <v>6233772</v>
      </c>
      <c r="M25" s="2">
        <f t="shared" si="3"/>
        <v>9093772</v>
      </c>
      <c r="N25" s="2">
        <f t="shared" si="3"/>
        <v>21963772</v>
      </c>
      <c r="O25" s="2">
        <f t="shared" si="3"/>
        <v>21963772</v>
      </c>
      <c r="P25" s="2">
        <f t="shared" si="3"/>
        <v>21963772</v>
      </c>
      <c r="Q25" s="2">
        <f t="shared" si="3"/>
        <v>21963772</v>
      </c>
      <c r="R25" s="2">
        <f t="shared" si="3"/>
        <v>21963772</v>
      </c>
      <c r="S25" s="2">
        <f t="shared" si="3"/>
        <v>21963772</v>
      </c>
      <c r="T25" s="2">
        <f t="shared" si="3"/>
        <v>21963772</v>
      </c>
      <c r="U25" s="2">
        <f t="shared" si="3"/>
        <v>21963772</v>
      </c>
      <c r="V25" s="2">
        <f>V16+V17+V18-V23-V24</f>
        <v>28913772</v>
      </c>
      <c r="W25" s="2"/>
      <c r="X25" s="2"/>
      <c r="Y25" s="2"/>
      <c r="Z25" s="2"/>
    </row>
    <row r="26" spans="1:26" s="7" customFormat="1" ht="12.75">
      <c r="A26" s="2" t="s">
        <v>40</v>
      </c>
      <c r="B26" s="2"/>
      <c r="C26" s="2"/>
      <c r="D26" s="2">
        <f>D25*B8</f>
        <v>90344.76000000001</v>
      </c>
      <c r="E26" s="2">
        <f>E25*B8</f>
        <v>364244.76</v>
      </c>
      <c r="F26" s="2">
        <f>F25*B8</f>
        <v>674444.76</v>
      </c>
      <c r="G26" s="2">
        <f>G25*B8</f>
        <v>1011044.76</v>
      </c>
      <c r="H26" s="2">
        <f>H25*B8</f>
        <v>1337744.76</v>
      </c>
      <c r="I26" s="2">
        <f>I25*B8</f>
        <v>1684244.76</v>
      </c>
      <c r="J26" s="2">
        <f>J25*B8</f>
        <v>2057144.76</v>
      </c>
      <c r="K26" s="2">
        <f>K25*B8</f>
        <v>2057144.76</v>
      </c>
      <c r="L26" s="2">
        <f>L25*B8</f>
        <v>2057144.76</v>
      </c>
      <c r="M26" s="2">
        <f>M25*B8</f>
        <v>3000944.7600000002</v>
      </c>
      <c r="N26" s="2">
        <f>N25*B8</f>
        <v>7248044.760000001</v>
      </c>
      <c r="O26" s="2">
        <f>O25*B8</f>
        <v>7248044.760000001</v>
      </c>
      <c r="P26" s="2">
        <f>P25*B8</f>
        <v>7248044.760000001</v>
      </c>
      <c r="Q26" s="2">
        <f>Q25*B8</f>
        <v>7248044.760000001</v>
      </c>
      <c r="R26" s="2">
        <f>R25*B8</f>
        <v>7248044.760000001</v>
      </c>
      <c r="S26" s="2">
        <f>S25*B8</f>
        <v>7248044.760000001</v>
      </c>
      <c r="T26" s="2">
        <f>T25*B8</f>
        <v>7248044.760000001</v>
      </c>
      <c r="U26" s="2">
        <f>U25*B8</f>
        <v>7248044.760000001</v>
      </c>
      <c r="V26" s="2">
        <f>V25*B8</f>
        <v>9541544.76</v>
      </c>
      <c r="W26" s="2"/>
      <c r="X26" s="2"/>
      <c r="Y26" s="2"/>
      <c r="Z26" s="2"/>
    </row>
    <row r="27" spans="1:26" s="7" customFormat="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7" customFormat="1" ht="12.75">
      <c r="A28" s="2" t="s">
        <v>55</v>
      </c>
      <c r="B28" s="2">
        <f>0-B20-B21</f>
        <v>-57840000</v>
      </c>
      <c r="C28" s="2">
        <f>C16-C20-C21-C22-C23-C26</f>
        <v>-106331879.14595768</v>
      </c>
      <c r="D28" s="2">
        <f aca="true" t="shared" si="4" ref="D28:U28">D16-D22-D23-D26</f>
        <v>25646895.517285038</v>
      </c>
      <c r="E28" s="2">
        <f t="shared" si="4"/>
        <v>25372995.517285038</v>
      </c>
      <c r="F28" s="2">
        <f t="shared" si="4"/>
        <v>25062795.517285038</v>
      </c>
      <c r="G28" s="2">
        <f t="shared" si="4"/>
        <v>24726195.517285038</v>
      </c>
      <c r="H28" s="2">
        <f t="shared" si="4"/>
        <v>24399495.517285038</v>
      </c>
      <c r="I28" s="2">
        <f t="shared" si="4"/>
        <v>24052995.517285038</v>
      </c>
      <c r="J28" s="2">
        <f t="shared" si="4"/>
        <v>23680095.517285038</v>
      </c>
      <c r="K28" s="2">
        <f t="shared" si="4"/>
        <v>23680095.517285038</v>
      </c>
      <c r="L28" s="2">
        <f t="shared" si="4"/>
        <v>23680095.517285038</v>
      </c>
      <c r="M28" s="2">
        <f t="shared" si="4"/>
        <v>22736295.517285038</v>
      </c>
      <c r="N28" s="2">
        <f t="shared" si="4"/>
        <v>18489195.517285038</v>
      </c>
      <c r="O28" s="2">
        <f t="shared" si="4"/>
        <v>18489195.517285038</v>
      </c>
      <c r="P28" s="2">
        <f t="shared" si="4"/>
        <v>18489195.517285038</v>
      </c>
      <c r="Q28" s="2">
        <f t="shared" si="4"/>
        <v>18489195.517285038</v>
      </c>
      <c r="R28" s="2">
        <f t="shared" si="4"/>
        <v>18489195.517285038</v>
      </c>
      <c r="S28" s="2">
        <f t="shared" si="4"/>
        <v>18489195.517285038</v>
      </c>
      <c r="T28" s="2">
        <f t="shared" si="4"/>
        <v>18489195.517285038</v>
      </c>
      <c r="U28" s="2">
        <f t="shared" si="4"/>
        <v>18489195.517285038</v>
      </c>
      <c r="V28" s="2">
        <f>V16+V17+V18-V22-V23-V26</f>
        <v>23145695.51728504</v>
      </c>
      <c r="W28" s="2"/>
      <c r="X28" s="2"/>
      <c r="Y28" s="2"/>
      <c r="Z28" s="2"/>
    </row>
    <row r="29" spans="1:26" s="7" customFormat="1" ht="12.75">
      <c r="A29" s="5" t="s">
        <v>59</v>
      </c>
      <c r="B29" s="13">
        <f>IRR(B28:V28)</f>
        <v>0.11999308066970067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7" customFormat="1" ht="12.75">
      <c r="A30" s="2" t="s">
        <v>56</v>
      </c>
      <c r="B30" s="2"/>
      <c r="C30" s="2"/>
      <c r="D30" s="2">
        <f>B10*B11</f>
        <v>14835744</v>
      </c>
      <c r="E30" s="2">
        <f aca="true" t="shared" si="5" ref="E30:J30">D30</f>
        <v>14835744</v>
      </c>
      <c r="F30" s="2">
        <f t="shared" si="5"/>
        <v>14835744</v>
      </c>
      <c r="G30" s="2">
        <f t="shared" si="5"/>
        <v>14835744</v>
      </c>
      <c r="H30" s="2">
        <f t="shared" si="5"/>
        <v>14835744</v>
      </c>
      <c r="I30" s="2">
        <f t="shared" si="5"/>
        <v>14835744</v>
      </c>
      <c r="J30" s="2">
        <f t="shared" si="5"/>
        <v>14835744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7" customFormat="1" ht="12.75">
      <c r="A31" s="2" t="s">
        <v>57</v>
      </c>
      <c r="B31" s="2">
        <f aca="true" t="shared" si="6" ref="B31:V31">B28+B30</f>
        <v>-57840000</v>
      </c>
      <c r="C31" s="2">
        <f t="shared" si="6"/>
        <v>-106331879.14595768</v>
      </c>
      <c r="D31" s="2">
        <f t="shared" si="6"/>
        <v>40482639.517285034</v>
      </c>
      <c r="E31" s="2">
        <f t="shared" si="6"/>
        <v>40208739.517285034</v>
      </c>
      <c r="F31" s="2">
        <f t="shared" si="6"/>
        <v>39898539.517285034</v>
      </c>
      <c r="G31" s="2">
        <f t="shared" si="6"/>
        <v>39561939.517285034</v>
      </c>
      <c r="H31" s="2">
        <f t="shared" si="6"/>
        <v>39235239.517285034</v>
      </c>
      <c r="I31" s="2">
        <f t="shared" si="6"/>
        <v>38888739.517285034</v>
      </c>
      <c r="J31" s="2">
        <f t="shared" si="6"/>
        <v>38515839.517285034</v>
      </c>
      <c r="K31" s="2">
        <f t="shared" si="6"/>
        <v>23680095.517285038</v>
      </c>
      <c r="L31" s="2">
        <f t="shared" si="6"/>
        <v>23680095.517285038</v>
      </c>
      <c r="M31" s="2">
        <f t="shared" si="6"/>
        <v>22736295.517285038</v>
      </c>
      <c r="N31" s="2">
        <f t="shared" si="6"/>
        <v>18489195.517285038</v>
      </c>
      <c r="O31" s="2">
        <f t="shared" si="6"/>
        <v>18489195.517285038</v>
      </c>
      <c r="P31" s="2">
        <f t="shared" si="6"/>
        <v>18489195.517285038</v>
      </c>
      <c r="Q31" s="2">
        <f t="shared" si="6"/>
        <v>18489195.517285038</v>
      </c>
      <c r="R31" s="2">
        <f t="shared" si="6"/>
        <v>18489195.517285038</v>
      </c>
      <c r="S31" s="2">
        <f t="shared" si="6"/>
        <v>18489195.517285038</v>
      </c>
      <c r="T31" s="2">
        <f t="shared" si="6"/>
        <v>18489195.517285038</v>
      </c>
      <c r="U31" s="2">
        <f t="shared" si="6"/>
        <v>18489195.517285038</v>
      </c>
      <c r="V31" s="2">
        <f t="shared" si="6"/>
        <v>23145695.51728504</v>
      </c>
      <c r="W31" s="2"/>
      <c r="X31" s="2"/>
      <c r="Y31" s="2"/>
      <c r="Z31" s="2"/>
    </row>
    <row r="32" spans="1:26" s="7" customFormat="1" ht="12.75">
      <c r="A32" s="5" t="s">
        <v>58</v>
      </c>
      <c r="B32" s="13">
        <f>IRR(B31:V31)</f>
        <v>0.19096356907998122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4" spans="1:2" ht="14.25">
      <c r="A34" s="13" t="s">
        <v>18</v>
      </c>
      <c r="B34" s="13">
        <f>(D22-'Gangyuan IRR analysis'!D25)/'Gangyuan IRR analysis'!D25</f>
        <v>-0.25862208640258655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3">
      <selection activeCell="B29" sqref="B29"/>
    </sheetView>
  </sheetViews>
  <sheetFormatPr defaultColWidth="8.875" defaultRowHeight="14.25"/>
  <cols>
    <col min="1" max="1" width="19.625" style="0" customWidth="1"/>
  </cols>
  <sheetData>
    <row r="1" spans="1:26" s="7" customFormat="1" ht="34.5" customHeight="1">
      <c r="A1" s="1" t="s">
        <v>29</v>
      </c>
      <c r="B1" s="6" t="s">
        <v>30</v>
      </c>
      <c r="C1" s="2"/>
      <c r="D1" s="2" t="s">
        <v>65</v>
      </c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7" customFormat="1" ht="22.5">
      <c r="A2" s="2" t="s">
        <v>31</v>
      </c>
      <c r="B2" s="8">
        <v>30</v>
      </c>
      <c r="C2" s="2" t="s">
        <v>32</v>
      </c>
      <c r="D2" s="2" t="s">
        <v>66</v>
      </c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7" customFormat="1" ht="22.5">
      <c r="A3" s="2" t="s">
        <v>33</v>
      </c>
      <c r="B3" s="8">
        <v>216624919.015678</v>
      </c>
      <c r="C3" s="2" t="s">
        <v>34</v>
      </c>
      <c r="D3" s="2" t="s">
        <v>66</v>
      </c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7" customFormat="1" ht="12.75">
      <c r="A4" s="2" t="s">
        <v>35</v>
      </c>
      <c r="B4" s="9">
        <v>0.195</v>
      </c>
      <c r="C4" s="2" t="s">
        <v>36</v>
      </c>
      <c r="D4" s="2" t="s">
        <v>12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7" customFormat="1" ht="12.75">
      <c r="A5" s="2" t="s">
        <v>37</v>
      </c>
      <c r="B5" s="9">
        <f>B4*1.17</f>
        <v>0.22815</v>
      </c>
      <c r="C5" s="2" t="s">
        <v>36</v>
      </c>
      <c r="D5" s="2" t="s">
        <v>12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7" customFormat="1" ht="12.75">
      <c r="A6" s="2" t="s">
        <v>38</v>
      </c>
      <c r="B6" s="10">
        <v>0.08</v>
      </c>
      <c r="C6" s="2"/>
      <c r="D6" s="2" t="s">
        <v>67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7" customFormat="1" ht="12.75">
      <c r="A7" s="2" t="s">
        <v>39</v>
      </c>
      <c r="B7" s="10">
        <v>0.17</v>
      </c>
      <c r="C7" s="2"/>
      <c r="D7" s="2" t="s">
        <v>68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7" customFormat="1" ht="12.75">
      <c r="A8" s="2" t="s">
        <v>40</v>
      </c>
      <c r="B8" s="10">
        <v>0.33</v>
      </c>
      <c r="C8" s="2"/>
      <c r="D8" s="2" t="s">
        <v>69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7" customFormat="1" ht="12.75">
      <c r="A9" s="2" t="s">
        <v>41</v>
      </c>
      <c r="B9" s="11">
        <v>0.9812</v>
      </c>
      <c r="C9" s="2" t="s">
        <v>42</v>
      </c>
      <c r="D9" s="2" t="s">
        <v>70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7" customFormat="1" ht="12.75">
      <c r="A10" s="2" t="s">
        <v>43</v>
      </c>
      <c r="B10" s="2">
        <f>B3*B9/1000</f>
        <v>212552.37053818326</v>
      </c>
      <c r="C10" s="2" t="s">
        <v>44</v>
      </c>
      <c r="D10" s="2" t="s">
        <v>71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7" customFormat="1" ht="12.75">
      <c r="A11" s="2" t="s">
        <v>45</v>
      </c>
      <c r="B11" s="8">
        <v>80</v>
      </c>
      <c r="C11" s="2" t="s">
        <v>36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7" customFormat="1" ht="12.75">
      <c r="A12" s="2" t="s">
        <v>46</v>
      </c>
      <c r="B12" s="8">
        <f>B20+C20</f>
        <v>162460000</v>
      </c>
      <c r="C12" s="2" t="s">
        <v>36</v>
      </c>
      <c r="D12" s="2" t="s">
        <v>72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7" customFormat="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7" customFormat="1" ht="12.75">
      <c r="A14" s="1" t="s">
        <v>47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7" customFormat="1" ht="24" customHeight="1">
      <c r="A15" s="3" t="s">
        <v>48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2"/>
      <c r="X15" s="2"/>
      <c r="Y15" s="2"/>
      <c r="Z15" s="2"/>
    </row>
    <row r="16" spans="1:26" s="7" customFormat="1" ht="12.75">
      <c r="A16" s="4" t="s">
        <v>49</v>
      </c>
      <c r="B16" s="12"/>
      <c r="C16" s="12">
        <f>D16*669/3686</f>
        <v>7666794.305531816</v>
      </c>
      <c r="D16" s="12">
        <f>B3*B4</f>
        <v>42241859.20805721</v>
      </c>
      <c r="E16" s="12">
        <f aca="true" t="shared" si="0" ref="E16:V16">D16</f>
        <v>42241859.20805721</v>
      </c>
      <c r="F16" s="12">
        <f t="shared" si="0"/>
        <v>42241859.20805721</v>
      </c>
      <c r="G16" s="12">
        <f t="shared" si="0"/>
        <v>42241859.20805721</v>
      </c>
      <c r="H16" s="12">
        <f t="shared" si="0"/>
        <v>42241859.20805721</v>
      </c>
      <c r="I16" s="12">
        <f t="shared" si="0"/>
        <v>42241859.20805721</v>
      </c>
      <c r="J16" s="12">
        <f t="shared" si="0"/>
        <v>42241859.20805721</v>
      </c>
      <c r="K16" s="12">
        <f t="shared" si="0"/>
        <v>42241859.20805721</v>
      </c>
      <c r="L16" s="12">
        <f t="shared" si="0"/>
        <v>42241859.20805721</v>
      </c>
      <c r="M16" s="12">
        <f t="shared" si="0"/>
        <v>42241859.20805721</v>
      </c>
      <c r="N16" s="12">
        <f t="shared" si="0"/>
        <v>42241859.20805721</v>
      </c>
      <c r="O16" s="12">
        <f t="shared" si="0"/>
        <v>42241859.20805721</v>
      </c>
      <c r="P16" s="12">
        <f t="shared" si="0"/>
        <v>42241859.20805721</v>
      </c>
      <c r="Q16" s="12">
        <f t="shared" si="0"/>
        <v>42241859.20805721</v>
      </c>
      <c r="R16" s="12">
        <f t="shared" si="0"/>
        <v>42241859.20805721</v>
      </c>
      <c r="S16" s="12">
        <f t="shared" si="0"/>
        <v>42241859.20805721</v>
      </c>
      <c r="T16" s="12">
        <f t="shared" si="0"/>
        <v>42241859.20805721</v>
      </c>
      <c r="U16" s="12">
        <f t="shared" si="0"/>
        <v>42241859.20805721</v>
      </c>
      <c r="V16" s="12">
        <f t="shared" si="0"/>
        <v>42241859.20805721</v>
      </c>
      <c r="W16" s="2"/>
      <c r="X16" s="2"/>
      <c r="Y16" s="2"/>
      <c r="Z16" s="2"/>
    </row>
    <row r="17" spans="1:26" s="7" customFormat="1" ht="12.75">
      <c r="A17" s="2" t="s">
        <v>50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5170000</v>
      </c>
      <c r="W17" s="2"/>
      <c r="X17" s="2"/>
      <c r="Y17" s="2"/>
      <c r="Z17" s="2"/>
    </row>
    <row r="18" spans="1:26" s="7" customFormat="1" ht="12.75">
      <c r="A18" s="2" t="s">
        <v>51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1780000</v>
      </c>
      <c r="W18" s="2"/>
      <c r="X18" s="2"/>
      <c r="Y18" s="2"/>
      <c r="Z18" s="2"/>
    </row>
    <row r="19" spans="1:26" s="7" customFormat="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7" customFormat="1" ht="12.75">
      <c r="A20" s="2" t="s">
        <v>52</v>
      </c>
      <c r="B20" s="8">
        <v>56860000</v>
      </c>
      <c r="C20" s="8">
        <v>105600000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7" customFormat="1" ht="12.75">
      <c r="A21" s="2" t="s">
        <v>53</v>
      </c>
      <c r="B21" s="8">
        <v>980000</v>
      </c>
      <c r="C21" s="8">
        <v>810000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7" customFormat="1" ht="12.75">
      <c r="A22" s="2" t="s">
        <v>22</v>
      </c>
      <c r="B22" s="2"/>
      <c r="C22" s="8">
        <f>6520000</f>
        <v>6520000</v>
      </c>
      <c r="D22" s="8">
        <f>14320000</f>
        <v>14320000</v>
      </c>
      <c r="E22" s="8">
        <f aca="true" t="shared" si="1" ref="E22:V22">D22</f>
        <v>14320000</v>
      </c>
      <c r="F22" s="8">
        <f t="shared" si="1"/>
        <v>14320000</v>
      </c>
      <c r="G22" s="8">
        <f t="shared" si="1"/>
        <v>14320000</v>
      </c>
      <c r="H22" s="8">
        <f t="shared" si="1"/>
        <v>14320000</v>
      </c>
      <c r="I22" s="8">
        <f t="shared" si="1"/>
        <v>14320000</v>
      </c>
      <c r="J22" s="8">
        <f t="shared" si="1"/>
        <v>14320000</v>
      </c>
      <c r="K22" s="8">
        <f t="shared" si="1"/>
        <v>14320000</v>
      </c>
      <c r="L22" s="8">
        <f t="shared" si="1"/>
        <v>14320000</v>
      </c>
      <c r="M22" s="8">
        <f t="shared" si="1"/>
        <v>14320000</v>
      </c>
      <c r="N22" s="8">
        <f t="shared" si="1"/>
        <v>14320000</v>
      </c>
      <c r="O22" s="8">
        <f t="shared" si="1"/>
        <v>14320000</v>
      </c>
      <c r="P22" s="8">
        <f t="shared" si="1"/>
        <v>14320000</v>
      </c>
      <c r="Q22" s="8">
        <f t="shared" si="1"/>
        <v>14320000</v>
      </c>
      <c r="R22" s="8">
        <f t="shared" si="1"/>
        <v>14320000</v>
      </c>
      <c r="S22" s="8">
        <f t="shared" si="1"/>
        <v>14320000</v>
      </c>
      <c r="T22" s="8">
        <f t="shared" si="1"/>
        <v>14320000</v>
      </c>
      <c r="U22" s="8">
        <f t="shared" si="1"/>
        <v>14320000</v>
      </c>
      <c r="V22" s="8">
        <f t="shared" si="1"/>
        <v>14320000</v>
      </c>
      <c r="W22" s="2"/>
      <c r="X22" s="2"/>
      <c r="Y22" s="2"/>
      <c r="Z22" s="2"/>
    </row>
    <row r="23" spans="1:26" s="7" customFormat="1" ht="12.75">
      <c r="A23" s="2" t="s">
        <v>38</v>
      </c>
      <c r="B23" s="2"/>
      <c r="C23" s="2">
        <f>C16*B6*B7</f>
        <v>104268.40255523271</v>
      </c>
      <c r="D23" s="2">
        <f>D16*$B7*$B6</f>
        <v>574489.2852295781</v>
      </c>
      <c r="E23" s="2">
        <f>E16*$B7*$B6</f>
        <v>574489.2852295781</v>
      </c>
      <c r="F23" s="2">
        <f aca="true" t="shared" si="2" ref="F23:V23">F16*$B7*$B6</f>
        <v>574489.2852295781</v>
      </c>
      <c r="G23" s="2">
        <f t="shared" si="2"/>
        <v>574489.2852295781</v>
      </c>
      <c r="H23" s="2">
        <f t="shared" si="2"/>
        <v>574489.2852295781</v>
      </c>
      <c r="I23" s="2">
        <f t="shared" si="2"/>
        <v>574489.2852295781</v>
      </c>
      <c r="J23" s="2">
        <f t="shared" si="2"/>
        <v>574489.2852295781</v>
      </c>
      <c r="K23" s="2">
        <f t="shared" si="2"/>
        <v>574489.2852295781</v>
      </c>
      <c r="L23" s="2">
        <f t="shared" si="2"/>
        <v>574489.2852295781</v>
      </c>
      <c r="M23" s="2">
        <f t="shared" si="2"/>
        <v>574489.2852295781</v>
      </c>
      <c r="N23" s="2">
        <f t="shared" si="2"/>
        <v>574489.2852295781</v>
      </c>
      <c r="O23" s="2">
        <f t="shared" si="2"/>
        <v>574489.2852295781</v>
      </c>
      <c r="P23" s="2">
        <f t="shared" si="2"/>
        <v>574489.2852295781</v>
      </c>
      <c r="Q23" s="2">
        <f t="shared" si="2"/>
        <v>574489.2852295781</v>
      </c>
      <c r="R23" s="2">
        <f t="shared" si="2"/>
        <v>574489.2852295781</v>
      </c>
      <c r="S23" s="2">
        <f t="shared" si="2"/>
        <v>574489.2852295781</v>
      </c>
      <c r="T23" s="2">
        <f t="shared" si="2"/>
        <v>574489.2852295781</v>
      </c>
      <c r="U23" s="2">
        <f t="shared" si="2"/>
        <v>574489.2852295781</v>
      </c>
      <c r="V23" s="2">
        <f t="shared" si="2"/>
        <v>574489.2852295781</v>
      </c>
      <c r="W23" s="2"/>
      <c r="X23" s="2"/>
      <c r="Y23" s="2"/>
      <c r="Z23" s="2"/>
    </row>
    <row r="24" spans="1:26" s="7" customFormat="1" ht="12.75">
      <c r="A24" s="2" t="s">
        <v>60</v>
      </c>
      <c r="B24" s="2"/>
      <c r="C24" s="8">
        <f>'Total cost breakdown'!E24*10000</f>
        <v>9770000</v>
      </c>
      <c r="D24" s="8">
        <f>'Total cost breakdown'!F24*10000</f>
        <v>36080000</v>
      </c>
      <c r="E24" s="8">
        <f>'Total cost breakdown'!G24*10000</f>
        <v>35250000</v>
      </c>
      <c r="F24" s="8">
        <f>'Total cost breakdown'!H24*10000</f>
        <v>34310000</v>
      </c>
      <c r="G24" s="8">
        <f>'Total cost breakdown'!I24*10000</f>
        <v>33290000</v>
      </c>
      <c r="H24" s="8">
        <f>'Total cost breakdown'!J24*10000</f>
        <v>32300000</v>
      </c>
      <c r="I24" s="8">
        <f>'Total cost breakdown'!K24*10000</f>
        <v>31250000</v>
      </c>
      <c r="J24" s="8">
        <f>'Total cost breakdown'!L24*10000</f>
        <v>30120000</v>
      </c>
      <c r="K24" s="8">
        <f>'Total cost breakdown'!M24*10000</f>
        <v>30120000</v>
      </c>
      <c r="L24" s="8">
        <f>'Total cost breakdown'!N24*10000</f>
        <v>30120000</v>
      </c>
      <c r="M24" s="8">
        <f>'Total cost breakdown'!O24*10000</f>
        <v>27260000</v>
      </c>
      <c r="N24" s="8">
        <f>'Total cost breakdown'!P24*10000</f>
        <v>14390000</v>
      </c>
      <c r="O24" s="8">
        <f>'Total cost breakdown'!Q24*10000</f>
        <v>14390000</v>
      </c>
      <c r="P24" s="8">
        <f>'Total cost breakdown'!R24*10000</f>
        <v>14390000</v>
      </c>
      <c r="Q24" s="8">
        <f>'Total cost breakdown'!S24*10000</f>
        <v>14390000</v>
      </c>
      <c r="R24" s="8">
        <f>'Total cost breakdown'!T24*10000</f>
        <v>14390000</v>
      </c>
      <c r="S24" s="8">
        <f>'Total cost breakdown'!U24*10000</f>
        <v>14390000</v>
      </c>
      <c r="T24" s="8">
        <f>'Total cost breakdown'!V24*10000</f>
        <v>14390000</v>
      </c>
      <c r="U24" s="8">
        <f>'Total cost breakdown'!W24*10000</f>
        <v>14390000</v>
      </c>
      <c r="V24" s="8">
        <f>'Total cost breakdown'!X24*10000</f>
        <v>14390000</v>
      </c>
      <c r="W24" s="2"/>
      <c r="X24" s="2"/>
      <c r="Y24" s="2"/>
      <c r="Z24" s="2"/>
    </row>
    <row r="25" spans="1:26" s="7" customFormat="1" ht="12.75">
      <c r="A25" s="2" t="s">
        <v>54</v>
      </c>
      <c r="B25" s="2"/>
      <c r="C25" s="2">
        <f aca="true" t="shared" si="3" ref="C25:U25">C16-C23-C24</f>
        <v>-2207474.0970234172</v>
      </c>
      <c r="D25" s="2">
        <f t="shared" si="3"/>
        <v>5587369.922827631</v>
      </c>
      <c r="E25" s="2">
        <f t="shared" si="3"/>
        <v>6417369.922827631</v>
      </c>
      <c r="F25" s="2">
        <f t="shared" si="3"/>
        <v>7357369.922827631</v>
      </c>
      <c r="G25" s="2">
        <f t="shared" si="3"/>
        <v>8377369.922827631</v>
      </c>
      <c r="H25" s="2">
        <f t="shared" si="3"/>
        <v>9367369.922827631</v>
      </c>
      <c r="I25" s="2">
        <f t="shared" si="3"/>
        <v>10417369.922827631</v>
      </c>
      <c r="J25" s="2">
        <f t="shared" si="3"/>
        <v>11547369.922827631</v>
      </c>
      <c r="K25" s="2">
        <f t="shared" si="3"/>
        <v>11547369.922827631</v>
      </c>
      <c r="L25" s="2">
        <f t="shared" si="3"/>
        <v>11547369.922827631</v>
      </c>
      <c r="M25" s="2">
        <f t="shared" si="3"/>
        <v>14407369.922827631</v>
      </c>
      <c r="N25" s="2">
        <f t="shared" si="3"/>
        <v>27277369.92282763</v>
      </c>
      <c r="O25" s="2">
        <f t="shared" si="3"/>
        <v>27277369.92282763</v>
      </c>
      <c r="P25" s="2">
        <f t="shared" si="3"/>
        <v>27277369.92282763</v>
      </c>
      <c r="Q25" s="2">
        <f t="shared" si="3"/>
        <v>27277369.92282763</v>
      </c>
      <c r="R25" s="2">
        <f t="shared" si="3"/>
        <v>27277369.92282763</v>
      </c>
      <c r="S25" s="2">
        <f t="shared" si="3"/>
        <v>27277369.92282763</v>
      </c>
      <c r="T25" s="2">
        <f t="shared" si="3"/>
        <v>27277369.92282763</v>
      </c>
      <c r="U25" s="2">
        <f t="shared" si="3"/>
        <v>27277369.92282763</v>
      </c>
      <c r="V25" s="2">
        <f>V16+V17+V18-V23-V24</f>
        <v>34227369.92282763</v>
      </c>
      <c r="W25" s="2"/>
      <c r="X25" s="2"/>
      <c r="Y25" s="2"/>
      <c r="Z25" s="2"/>
    </row>
    <row r="26" spans="1:26" s="7" customFormat="1" ht="12.75">
      <c r="A26" s="2" t="s">
        <v>40</v>
      </c>
      <c r="B26" s="2"/>
      <c r="C26" s="2"/>
      <c r="D26" s="2">
        <f>D25*B8</f>
        <v>1843832.0745331184</v>
      </c>
      <c r="E26" s="2">
        <f>E25*B8</f>
        <v>2117732.0745331184</v>
      </c>
      <c r="F26" s="2">
        <f>F25*B8</f>
        <v>2427932.0745331184</v>
      </c>
      <c r="G26" s="2">
        <f>G25*B8</f>
        <v>2764532.0745331184</v>
      </c>
      <c r="H26" s="2">
        <f>H25*B8</f>
        <v>3091232.0745331184</v>
      </c>
      <c r="I26" s="2">
        <f>I25*B8</f>
        <v>3437732.0745331184</v>
      </c>
      <c r="J26" s="2">
        <f>J25*B8</f>
        <v>3810632.0745331184</v>
      </c>
      <c r="K26" s="2">
        <f>K25*B8</f>
        <v>3810632.0745331184</v>
      </c>
      <c r="L26" s="2">
        <f>L25*B8</f>
        <v>3810632.0745331184</v>
      </c>
      <c r="M26" s="2">
        <f>M25*B8</f>
        <v>4754432.074533119</v>
      </c>
      <c r="N26" s="2">
        <f>N25*B8</f>
        <v>9001532.074533118</v>
      </c>
      <c r="O26" s="2">
        <f>O25*B8</f>
        <v>9001532.074533118</v>
      </c>
      <c r="P26" s="2">
        <f>P25*B8</f>
        <v>9001532.074533118</v>
      </c>
      <c r="Q26" s="2">
        <f>Q25*B8</f>
        <v>9001532.074533118</v>
      </c>
      <c r="R26" s="2">
        <f>R25*B8</f>
        <v>9001532.074533118</v>
      </c>
      <c r="S26" s="2">
        <f>S25*B8</f>
        <v>9001532.074533118</v>
      </c>
      <c r="T26" s="2">
        <f>T25*B8</f>
        <v>9001532.074533118</v>
      </c>
      <c r="U26" s="2">
        <f>U25*B8</f>
        <v>9001532.074533118</v>
      </c>
      <c r="V26" s="2">
        <f>V25*B8</f>
        <v>11295032.074533118</v>
      </c>
      <c r="W26" s="2"/>
      <c r="X26" s="2"/>
      <c r="Y26" s="2"/>
      <c r="Z26" s="2"/>
    </row>
    <row r="27" spans="1:26" s="7" customFormat="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7" customFormat="1" ht="12.75">
      <c r="A28" s="2" t="s">
        <v>55</v>
      </c>
      <c r="B28" s="2">
        <f>0-B20-B21</f>
        <v>-57840000</v>
      </c>
      <c r="C28" s="2">
        <f>C16-C20-C21-C22-C23-C26</f>
        <v>-105367474.09702341</v>
      </c>
      <c r="D28" s="2">
        <f aca="true" t="shared" si="4" ref="D28:U28">D16-D22-D23-D26</f>
        <v>25503537.84829451</v>
      </c>
      <c r="E28" s="2">
        <f t="shared" si="4"/>
        <v>25229637.84829451</v>
      </c>
      <c r="F28" s="2">
        <f t="shared" si="4"/>
        <v>24919437.84829451</v>
      </c>
      <c r="G28" s="2">
        <f t="shared" si="4"/>
        <v>24582837.84829451</v>
      </c>
      <c r="H28" s="2">
        <f t="shared" si="4"/>
        <v>24256137.84829451</v>
      </c>
      <c r="I28" s="2">
        <f t="shared" si="4"/>
        <v>23909637.84829451</v>
      </c>
      <c r="J28" s="2">
        <f t="shared" si="4"/>
        <v>23536737.84829451</v>
      </c>
      <c r="K28" s="2">
        <f t="shared" si="4"/>
        <v>23536737.84829451</v>
      </c>
      <c r="L28" s="2">
        <f t="shared" si="4"/>
        <v>23536737.84829451</v>
      </c>
      <c r="M28" s="2">
        <f t="shared" si="4"/>
        <v>22592937.84829451</v>
      </c>
      <c r="N28" s="2">
        <f t="shared" si="4"/>
        <v>18345837.84829451</v>
      </c>
      <c r="O28" s="2">
        <f t="shared" si="4"/>
        <v>18345837.84829451</v>
      </c>
      <c r="P28" s="2">
        <f t="shared" si="4"/>
        <v>18345837.84829451</v>
      </c>
      <c r="Q28" s="2">
        <f t="shared" si="4"/>
        <v>18345837.84829451</v>
      </c>
      <c r="R28" s="2">
        <f t="shared" si="4"/>
        <v>18345837.84829451</v>
      </c>
      <c r="S28" s="2">
        <f t="shared" si="4"/>
        <v>18345837.84829451</v>
      </c>
      <c r="T28" s="2">
        <f t="shared" si="4"/>
        <v>18345837.84829451</v>
      </c>
      <c r="U28" s="2">
        <f t="shared" si="4"/>
        <v>18345837.84829451</v>
      </c>
      <c r="V28" s="2">
        <f>V16+V17+V18-V22-V23-V26</f>
        <v>23002337.84829451</v>
      </c>
      <c r="W28" s="2"/>
      <c r="X28" s="2"/>
      <c r="Y28" s="2"/>
      <c r="Z28" s="2"/>
    </row>
    <row r="29" spans="1:26" s="7" customFormat="1" ht="12.75">
      <c r="A29" s="5" t="s">
        <v>59</v>
      </c>
      <c r="B29" s="13">
        <f>IRR(B28:V28)</f>
        <v>0.11990343961195352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7" customFormat="1" ht="12.75">
      <c r="A30" s="2" t="s">
        <v>56</v>
      </c>
      <c r="B30" s="2"/>
      <c r="C30" s="2"/>
      <c r="D30" s="2">
        <f>B10*B11</f>
        <v>17004189.64305466</v>
      </c>
      <c r="E30" s="2">
        <f aca="true" t="shared" si="5" ref="E30:J30">D30</f>
        <v>17004189.64305466</v>
      </c>
      <c r="F30" s="2">
        <f t="shared" si="5"/>
        <v>17004189.64305466</v>
      </c>
      <c r="G30" s="2">
        <f t="shared" si="5"/>
        <v>17004189.64305466</v>
      </c>
      <c r="H30" s="2">
        <f t="shared" si="5"/>
        <v>17004189.64305466</v>
      </c>
      <c r="I30" s="2">
        <f t="shared" si="5"/>
        <v>17004189.64305466</v>
      </c>
      <c r="J30" s="2">
        <f t="shared" si="5"/>
        <v>17004189.64305466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7" customFormat="1" ht="12.75">
      <c r="A31" s="2" t="s">
        <v>57</v>
      </c>
      <c r="B31" s="2">
        <f aca="true" t="shared" si="6" ref="B31:V31">B28+B30</f>
        <v>-57840000</v>
      </c>
      <c r="C31" s="2">
        <f t="shared" si="6"/>
        <v>-105367474.09702341</v>
      </c>
      <c r="D31" s="2">
        <f t="shared" si="6"/>
        <v>42507727.491349176</v>
      </c>
      <c r="E31" s="2">
        <f t="shared" si="6"/>
        <v>42233827.491349176</v>
      </c>
      <c r="F31" s="2">
        <f t="shared" si="6"/>
        <v>41923627.491349176</v>
      </c>
      <c r="G31" s="2">
        <f t="shared" si="6"/>
        <v>41587027.491349176</v>
      </c>
      <c r="H31" s="2">
        <f t="shared" si="6"/>
        <v>41260327.491349176</v>
      </c>
      <c r="I31" s="2">
        <f t="shared" si="6"/>
        <v>40913827.491349176</v>
      </c>
      <c r="J31" s="2">
        <f t="shared" si="6"/>
        <v>40540927.491349176</v>
      </c>
      <c r="K31" s="2">
        <f t="shared" si="6"/>
        <v>23536737.84829451</v>
      </c>
      <c r="L31" s="2">
        <f t="shared" si="6"/>
        <v>23536737.84829451</v>
      </c>
      <c r="M31" s="2">
        <f t="shared" si="6"/>
        <v>22592937.84829451</v>
      </c>
      <c r="N31" s="2">
        <f t="shared" si="6"/>
        <v>18345837.84829451</v>
      </c>
      <c r="O31" s="2">
        <f t="shared" si="6"/>
        <v>18345837.84829451</v>
      </c>
      <c r="P31" s="2">
        <f t="shared" si="6"/>
        <v>18345837.84829451</v>
      </c>
      <c r="Q31" s="2">
        <f t="shared" si="6"/>
        <v>18345837.84829451</v>
      </c>
      <c r="R31" s="2">
        <f t="shared" si="6"/>
        <v>18345837.84829451</v>
      </c>
      <c r="S31" s="2">
        <f t="shared" si="6"/>
        <v>18345837.84829451</v>
      </c>
      <c r="T31" s="2">
        <f t="shared" si="6"/>
        <v>18345837.84829451</v>
      </c>
      <c r="U31" s="2">
        <f t="shared" si="6"/>
        <v>18345837.84829451</v>
      </c>
      <c r="V31" s="2">
        <f t="shared" si="6"/>
        <v>23002337.84829451</v>
      </c>
      <c r="W31" s="2"/>
      <c r="X31" s="2"/>
      <c r="Y31" s="2"/>
      <c r="Z31" s="2"/>
    </row>
    <row r="32" spans="1:26" s="7" customFormat="1" ht="12.75">
      <c r="A32" s="5" t="s">
        <v>58</v>
      </c>
      <c r="B32" s="13">
        <f>IRR(B31:V31)</f>
        <v>0.20236760280947275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4" spans="1:2" ht="14.25">
      <c r="A34" s="13" t="s">
        <v>19</v>
      </c>
      <c r="B34" s="13">
        <f>(B3-'Gangyuan IRR analysis'!B3)/'Gangyuan IRR analysis'!B3</f>
        <v>0.1461635926755449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="85" zoomScaleNormal="85" zoomScalePageLayoutView="0" workbookViewId="0" topLeftCell="A1">
      <selection activeCell="J60" sqref="J60"/>
    </sheetView>
  </sheetViews>
  <sheetFormatPr defaultColWidth="9.00390625" defaultRowHeight="14.25"/>
  <cols>
    <col min="1" max="1" width="31.625" style="0" customWidth="1"/>
    <col min="2" max="2" width="13.00390625" style="0" customWidth="1"/>
  </cols>
  <sheetData>
    <row r="1" spans="1:22" ht="14.25">
      <c r="A1" s="1" t="s">
        <v>29</v>
      </c>
      <c r="B1" s="6" t="s">
        <v>30</v>
      </c>
      <c r="C1" s="2"/>
      <c r="D1" s="2" t="s">
        <v>65</v>
      </c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>
      <c r="A2" s="2" t="s">
        <v>31</v>
      </c>
      <c r="B2" s="8">
        <v>30</v>
      </c>
      <c r="C2" s="2" t="s">
        <v>32</v>
      </c>
      <c r="D2" s="2" t="s">
        <v>66</v>
      </c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2" t="s">
        <v>33</v>
      </c>
      <c r="B3" s="24">
        <f>B15*B16</f>
        <v>216725879.2825439</v>
      </c>
      <c r="C3" s="2" t="s">
        <v>34</v>
      </c>
      <c r="D3" s="2" t="s">
        <v>66</v>
      </c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>
      <c r="A4" s="2" t="s">
        <v>35</v>
      </c>
      <c r="B4" s="9">
        <v>0.195</v>
      </c>
      <c r="C4" s="2" t="s">
        <v>36</v>
      </c>
      <c r="D4" s="2" t="s">
        <v>12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4.25">
      <c r="A5" s="2" t="s">
        <v>37</v>
      </c>
      <c r="B5" s="22">
        <f>B4*1.17</f>
        <v>0.22815</v>
      </c>
      <c r="C5" s="2" t="s">
        <v>36</v>
      </c>
      <c r="D5" s="2" t="s">
        <v>12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4.25">
      <c r="A6" s="2" t="s">
        <v>38</v>
      </c>
      <c r="B6" s="10">
        <v>0.08</v>
      </c>
      <c r="C6" s="2"/>
      <c r="D6" s="2" t="s">
        <v>67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4.25">
      <c r="A7" s="2" t="s">
        <v>39</v>
      </c>
      <c r="B7" s="10">
        <v>0.17</v>
      </c>
      <c r="C7" s="2"/>
      <c r="D7" s="2" t="s">
        <v>68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4.25">
      <c r="A8" s="2" t="s">
        <v>40</v>
      </c>
      <c r="B8" s="10">
        <v>0.33</v>
      </c>
      <c r="C8" s="2"/>
      <c r="D8" s="2" t="s">
        <v>69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4.25">
      <c r="A9" s="2" t="s">
        <v>41</v>
      </c>
      <c r="B9" s="11">
        <v>0.9812</v>
      </c>
      <c r="C9" s="2" t="s">
        <v>42</v>
      </c>
      <c r="D9" s="2" t="s">
        <v>70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4.25">
      <c r="A10" s="2" t="s">
        <v>43</v>
      </c>
      <c r="B10" s="25">
        <f>B3*B9/1000</f>
        <v>212651.43275203207</v>
      </c>
      <c r="C10" s="2" t="s">
        <v>44</v>
      </c>
      <c r="D10" s="2" t="s">
        <v>71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4.25">
      <c r="A11" s="2" t="s">
        <v>45</v>
      </c>
      <c r="B11" s="8">
        <v>80</v>
      </c>
      <c r="C11" s="2" t="s">
        <v>36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4.25">
      <c r="A12" s="2" t="s">
        <v>46</v>
      </c>
      <c r="B12" s="24">
        <f>B24+C24</f>
        <v>162460000</v>
      </c>
      <c r="C12" s="2" t="s">
        <v>36</v>
      </c>
      <c r="D12" s="17" t="s">
        <v>66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4.25">
      <c r="A13" s="2" t="s">
        <v>87</v>
      </c>
      <c r="B13" s="46">
        <f>0.506</f>
        <v>0.506</v>
      </c>
      <c r="C13" s="2" t="s">
        <v>86</v>
      </c>
      <c r="D13" s="17" t="s">
        <v>88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4.25">
      <c r="A14" s="2" t="s">
        <v>89</v>
      </c>
      <c r="B14" s="46">
        <v>35</v>
      </c>
      <c r="C14" s="2" t="s">
        <v>90</v>
      </c>
      <c r="D14" s="17" t="s">
        <v>91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4.25">
      <c r="A15" s="2" t="s">
        <v>92</v>
      </c>
      <c r="B15" s="47">
        <v>688018.6643890282</v>
      </c>
      <c r="C15" s="2" t="s">
        <v>93</v>
      </c>
      <c r="D15" s="17" t="s">
        <v>94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4.25">
      <c r="A16" s="2" t="s">
        <v>95</v>
      </c>
      <c r="B16" s="49">
        <f>315</f>
        <v>315</v>
      </c>
      <c r="C16" s="2" t="s">
        <v>96</v>
      </c>
      <c r="D16" s="2" t="s">
        <v>97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4.25">
      <c r="A18" s="1" t="s">
        <v>47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4.25">
      <c r="A19" s="3" t="s">
        <v>48</v>
      </c>
      <c r="B19" s="3">
        <v>1</v>
      </c>
      <c r="C19" s="3">
        <v>2</v>
      </c>
      <c r="D19" s="3">
        <v>3</v>
      </c>
      <c r="E19" s="3">
        <v>4</v>
      </c>
      <c r="F19" s="3">
        <v>5</v>
      </c>
      <c r="G19" s="3">
        <v>6</v>
      </c>
      <c r="H19" s="3">
        <v>7</v>
      </c>
      <c r="I19" s="3">
        <v>8</v>
      </c>
      <c r="J19" s="3">
        <v>9</v>
      </c>
      <c r="K19" s="3">
        <v>10</v>
      </c>
      <c r="L19" s="3">
        <v>11</v>
      </c>
      <c r="M19" s="3">
        <v>12</v>
      </c>
      <c r="N19" s="3">
        <v>13</v>
      </c>
      <c r="O19" s="3">
        <v>14</v>
      </c>
      <c r="P19" s="3">
        <v>15</v>
      </c>
      <c r="Q19" s="3">
        <v>16</v>
      </c>
      <c r="R19" s="3">
        <v>17</v>
      </c>
      <c r="S19" s="3">
        <v>18</v>
      </c>
      <c r="T19" s="3">
        <v>19</v>
      </c>
      <c r="U19" s="3">
        <v>20</v>
      </c>
      <c r="V19" s="3">
        <v>21</v>
      </c>
    </row>
    <row r="20" spans="1:22" ht="22.5">
      <c r="A20" s="26" t="s">
        <v>49</v>
      </c>
      <c r="B20" s="27"/>
      <c r="C20" s="27">
        <f>D20*669/3686</f>
        <v>7670367.493707071</v>
      </c>
      <c r="D20" s="27">
        <f>B3*B4</f>
        <v>42261546.46009606</v>
      </c>
      <c r="E20" s="27">
        <f aca="true" t="shared" si="0" ref="E20:V20">D20</f>
        <v>42261546.46009606</v>
      </c>
      <c r="F20" s="27">
        <f t="shared" si="0"/>
        <v>42261546.46009606</v>
      </c>
      <c r="G20" s="27">
        <f t="shared" si="0"/>
        <v>42261546.46009606</v>
      </c>
      <c r="H20" s="27">
        <f t="shared" si="0"/>
        <v>42261546.46009606</v>
      </c>
      <c r="I20" s="27">
        <f t="shared" si="0"/>
        <v>42261546.46009606</v>
      </c>
      <c r="J20" s="27">
        <f t="shared" si="0"/>
        <v>42261546.46009606</v>
      </c>
      <c r="K20" s="27">
        <f t="shared" si="0"/>
        <v>42261546.46009606</v>
      </c>
      <c r="L20" s="27">
        <f t="shared" si="0"/>
        <v>42261546.46009606</v>
      </c>
      <c r="M20" s="27">
        <f t="shared" si="0"/>
        <v>42261546.46009606</v>
      </c>
      <c r="N20" s="27">
        <f t="shared" si="0"/>
        <v>42261546.46009606</v>
      </c>
      <c r="O20" s="27">
        <f t="shared" si="0"/>
        <v>42261546.46009606</v>
      </c>
      <c r="P20" s="27">
        <f t="shared" si="0"/>
        <v>42261546.46009606</v>
      </c>
      <c r="Q20" s="27">
        <f t="shared" si="0"/>
        <v>42261546.46009606</v>
      </c>
      <c r="R20" s="27">
        <f t="shared" si="0"/>
        <v>42261546.46009606</v>
      </c>
      <c r="S20" s="27">
        <f t="shared" si="0"/>
        <v>42261546.46009606</v>
      </c>
      <c r="T20" s="27">
        <f t="shared" si="0"/>
        <v>42261546.46009606</v>
      </c>
      <c r="U20" s="27">
        <f t="shared" si="0"/>
        <v>42261546.46009606</v>
      </c>
      <c r="V20" s="27">
        <f t="shared" si="0"/>
        <v>42261546.46009606</v>
      </c>
    </row>
    <row r="21" spans="1:22" ht="22.5">
      <c r="A21" s="25" t="s">
        <v>50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>
        <v>5170000</v>
      </c>
    </row>
    <row r="22" spans="1:22" ht="14.25">
      <c r="A22" s="25" t="s">
        <v>51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>
        <v>1780000</v>
      </c>
    </row>
    <row r="23" spans="1:22" ht="14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ht="22.5">
      <c r="A24" s="25" t="s">
        <v>52</v>
      </c>
      <c r="B24" s="24">
        <v>56860000</v>
      </c>
      <c r="C24" s="24">
        <v>105600000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ht="14.25">
      <c r="A25" s="25" t="s">
        <v>53</v>
      </c>
      <c r="B25" s="24">
        <v>980000</v>
      </c>
      <c r="C25" s="24">
        <v>810000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ht="14.25">
      <c r="A26" s="25" t="s">
        <v>21</v>
      </c>
      <c r="B26" s="25"/>
      <c r="C26" s="24">
        <f>6520000</f>
        <v>6520000</v>
      </c>
      <c r="D26" s="24">
        <f>14320000</f>
        <v>14320000</v>
      </c>
      <c r="E26" s="24">
        <f aca="true" t="shared" si="1" ref="E26:U26">D26</f>
        <v>14320000</v>
      </c>
      <c r="F26" s="24">
        <f t="shared" si="1"/>
        <v>14320000</v>
      </c>
      <c r="G26" s="24">
        <f t="shared" si="1"/>
        <v>14320000</v>
      </c>
      <c r="H26" s="24">
        <f t="shared" si="1"/>
        <v>14320000</v>
      </c>
      <c r="I26" s="24">
        <f t="shared" si="1"/>
        <v>14320000</v>
      </c>
      <c r="J26" s="24">
        <f t="shared" si="1"/>
        <v>14320000</v>
      </c>
      <c r="K26" s="24">
        <f t="shared" si="1"/>
        <v>14320000</v>
      </c>
      <c r="L26" s="24">
        <f t="shared" si="1"/>
        <v>14320000</v>
      </c>
      <c r="M26" s="24">
        <f t="shared" si="1"/>
        <v>14320000</v>
      </c>
      <c r="N26" s="24">
        <f t="shared" si="1"/>
        <v>14320000</v>
      </c>
      <c r="O26" s="24">
        <f t="shared" si="1"/>
        <v>14320000</v>
      </c>
      <c r="P26" s="24">
        <f t="shared" si="1"/>
        <v>14320000</v>
      </c>
      <c r="Q26" s="24">
        <f t="shared" si="1"/>
        <v>14320000</v>
      </c>
      <c r="R26" s="24">
        <f t="shared" si="1"/>
        <v>14320000</v>
      </c>
      <c r="S26" s="24">
        <f t="shared" si="1"/>
        <v>14320000</v>
      </c>
      <c r="T26" s="24">
        <f t="shared" si="1"/>
        <v>14320000</v>
      </c>
      <c r="U26" s="24">
        <f t="shared" si="1"/>
        <v>14320000</v>
      </c>
      <c r="V26" s="24">
        <f>U26</f>
        <v>14320000</v>
      </c>
    </row>
    <row r="27" spans="1:22" ht="14.25">
      <c r="A27" s="25" t="s">
        <v>38</v>
      </c>
      <c r="B27" s="25"/>
      <c r="C27" s="25">
        <f>C20*B6*B7</f>
        <v>104316.99791441618</v>
      </c>
      <c r="D27" s="25">
        <f>D20*$B7*$B6</f>
        <v>574757.0318573065</v>
      </c>
      <c r="E27" s="25">
        <f>E20*$B7*$B6</f>
        <v>574757.0318573065</v>
      </c>
      <c r="F27" s="25">
        <f aca="true" t="shared" si="2" ref="F27:U27">F20*$B7*$B6</f>
        <v>574757.0318573065</v>
      </c>
      <c r="G27" s="25">
        <f t="shared" si="2"/>
        <v>574757.0318573065</v>
      </c>
      <c r="H27" s="25">
        <f t="shared" si="2"/>
        <v>574757.0318573065</v>
      </c>
      <c r="I27" s="25">
        <f t="shared" si="2"/>
        <v>574757.0318573065</v>
      </c>
      <c r="J27" s="25">
        <f t="shared" si="2"/>
        <v>574757.0318573065</v>
      </c>
      <c r="K27" s="25">
        <f t="shared" si="2"/>
        <v>574757.0318573065</v>
      </c>
      <c r="L27" s="25">
        <f t="shared" si="2"/>
        <v>574757.0318573065</v>
      </c>
      <c r="M27" s="25">
        <f t="shared" si="2"/>
        <v>574757.0318573065</v>
      </c>
      <c r="N27" s="25">
        <f t="shared" si="2"/>
        <v>574757.0318573065</v>
      </c>
      <c r="O27" s="25">
        <f t="shared" si="2"/>
        <v>574757.0318573065</v>
      </c>
      <c r="P27" s="25">
        <f t="shared" si="2"/>
        <v>574757.0318573065</v>
      </c>
      <c r="Q27" s="25">
        <f t="shared" si="2"/>
        <v>574757.0318573065</v>
      </c>
      <c r="R27" s="25">
        <f t="shared" si="2"/>
        <v>574757.0318573065</v>
      </c>
      <c r="S27" s="25">
        <f t="shared" si="2"/>
        <v>574757.0318573065</v>
      </c>
      <c r="T27" s="25">
        <f t="shared" si="2"/>
        <v>574757.0318573065</v>
      </c>
      <c r="U27" s="25">
        <f t="shared" si="2"/>
        <v>574757.0318573065</v>
      </c>
      <c r="V27" s="25">
        <f>V20*$B7*$B6</f>
        <v>574757.0318573065</v>
      </c>
    </row>
    <row r="28" spans="1:22" ht="14.25">
      <c r="A28" s="29" t="s">
        <v>60</v>
      </c>
      <c r="B28" s="25"/>
      <c r="C28" s="24">
        <f>'Total cost breakdown'!E24*10000</f>
        <v>9770000</v>
      </c>
      <c r="D28" s="24">
        <f>'Total cost breakdown'!F24*10000</f>
        <v>36080000</v>
      </c>
      <c r="E28" s="24">
        <f>'Total cost breakdown'!G24*10000</f>
        <v>35250000</v>
      </c>
      <c r="F28" s="24">
        <f>'Total cost breakdown'!H24*10000</f>
        <v>34310000</v>
      </c>
      <c r="G28" s="24">
        <f>'Total cost breakdown'!I24*10000</f>
        <v>33290000</v>
      </c>
      <c r="H28" s="24">
        <f>'Total cost breakdown'!J24*10000</f>
        <v>32300000</v>
      </c>
      <c r="I28" s="24">
        <f>'Total cost breakdown'!K24*10000</f>
        <v>31250000</v>
      </c>
      <c r="J28" s="24">
        <f>'Total cost breakdown'!L24*10000</f>
        <v>30120000</v>
      </c>
      <c r="K28" s="24">
        <f>'Total cost breakdown'!M24*10000</f>
        <v>30120000</v>
      </c>
      <c r="L28" s="24">
        <f>'Total cost breakdown'!N24*10000</f>
        <v>30120000</v>
      </c>
      <c r="M28" s="24">
        <f>'Total cost breakdown'!O24*10000</f>
        <v>27260000</v>
      </c>
      <c r="N28" s="24">
        <f>'Total cost breakdown'!P24*10000</f>
        <v>14390000</v>
      </c>
      <c r="O28" s="24">
        <f>'Total cost breakdown'!Q24*10000</f>
        <v>14390000</v>
      </c>
      <c r="P28" s="24">
        <f>'Total cost breakdown'!R24*10000</f>
        <v>14390000</v>
      </c>
      <c r="Q28" s="24">
        <f>'Total cost breakdown'!S24*10000</f>
        <v>14390000</v>
      </c>
      <c r="R28" s="24">
        <f>'Total cost breakdown'!T24*10000</f>
        <v>14390000</v>
      </c>
      <c r="S28" s="24">
        <f>'Total cost breakdown'!U24*10000</f>
        <v>14390000</v>
      </c>
      <c r="T28" s="24">
        <f>'Total cost breakdown'!V24*10000</f>
        <v>14390000</v>
      </c>
      <c r="U28" s="24">
        <f>'Total cost breakdown'!W24*10000</f>
        <v>14390000</v>
      </c>
      <c r="V28" s="24">
        <f>'Total cost breakdown'!X24*10000</f>
        <v>14390000</v>
      </c>
    </row>
    <row r="29" spans="1:22" ht="14.25">
      <c r="A29" s="25" t="s">
        <v>54</v>
      </c>
      <c r="B29" s="25"/>
      <c r="C29" s="25">
        <f aca="true" t="shared" si="3" ref="C29:U29">C20-C27-C28</f>
        <v>-2203949.5042073447</v>
      </c>
      <c r="D29" s="25">
        <f t="shared" si="3"/>
        <v>5606789.428238757</v>
      </c>
      <c r="E29" s="25">
        <f t="shared" si="3"/>
        <v>6436789.428238757</v>
      </c>
      <c r="F29" s="25">
        <f t="shared" si="3"/>
        <v>7376789.428238757</v>
      </c>
      <c r="G29" s="25">
        <f t="shared" si="3"/>
        <v>8396789.428238757</v>
      </c>
      <c r="H29" s="25">
        <f t="shared" si="3"/>
        <v>9386789.428238757</v>
      </c>
      <c r="I29" s="25">
        <f t="shared" si="3"/>
        <v>10436789.428238757</v>
      </c>
      <c r="J29" s="25">
        <f t="shared" si="3"/>
        <v>11566789.428238757</v>
      </c>
      <c r="K29" s="25">
        <f t="shared" si="3"/>
        <v>11566789.428238757</v>
      </c>
      <c r="L29" s="25">
        <f t="shared" si="3"/>
        <v>11566789.428238757</v>
      </c>
      <c r="M29" s="25">
        <f t="shared" si="3"/>
        <v>14426789.428238757</v>
      </c>
      <c r="N29" s="25">
        <f t="shared" si="3"/>
        <v>27296789.428238757</v>
      </c>
      <c r="O29" s="25">
        <f t="shared" si="3"/>
        <v>27296789.428238757</v>
      </c>
      <c r="P29" s="25">
        <f t="shared" si="3"/>
        <v>27296789.428238757</v>
      </c>
      <c r="Q29" s="25">
        <f t="shared" si="3"/>
        <v>27296789.428238757</v>
      </c>
      <c r="R29" s="25">
        <f t="shared" si="3"/>
        <v>27296789.428238757</v>
      </c>
      <c r="S29" s="25">
        <f t="shared" si="3"/>
        <v>27296789.428238757</v>
      </c>
      <c r="T29" s="25">
        <f t="shared" si="3"/>
        <v>27296789.428238757</v>
      </c>
      <c r="U29" s="25">
        <f t="shared" si="3"/>
        <v>27296789.428238757</v>
      </c>
      <c r="V29" s="25">
        <f>V20+V21+V22-V27-V28</f>
        <v>34246789.42823876</v>
      </c>
    </row>
    <row r="30" spans="1:22" ht="14.25">
      <c r="A30" s="25" t="s">
        <v>40</v>
      </c>
      <c r="B30" s="25"/>
      <c r="C30" s="25"/>
      <c r="D30" s="25">
        <f>D29*B8</f>
        <v>1850240.5113187898</v>
      </c>
      <c r="E30" s="25">
        <f>E29*B8</f>
        <v>2124140.51131879</v>
      </c>
      <c r="F30" s="25">
        <f>F29*B8</f>
        <v>2434340.51131879</v>
      </c>
      <c r="G30" s="25">
        <f>G29*B8</f>
        <v>2770940.51131879</v>
      </c>
      <c r="H30" s="25">
        <f>H29*B8</f>
        <v>3097640.51131879</v>
      </c>
      <c r="I30" s="25">
        <f>I29*B8</f>
        <v>3444140.51131879</v>
      </c>
      <c r="J30" s="25">
        <f>J29*B8</f>
        <v>3817040.51131879</v>
      </c>
      <c r="K30" s="25">
        <f>K29*B8</f>
        <v>3817040.51131879</v>
      </c>
      <c r="L30" s="25">
        <f>L29*B8</f>
        <v>3817040.51131879</v>
      </c>
      <c r="M30" s="25">
        <f>M29*B8</f>
        <v>4760840.51131879</v>
      </c>
      <c r="N30" s="25">
        <f>N29*B8</f>
        <v>9007940.51131879</v>
      </c>
      <c r="O30" s="25">
        <f>O29*B8</f>
        <v>9007940.51131879</v>
      </c>
      <c r="P30" s="25">
        <f>P29*B8</f>
        <v>9007940.51131879</v>
      </c>
      <c r="Q30" s="25">
        <f>Q29*B8</f>
        <v>9007940.51131879</v>
      </c>
      <c r="R30" s="25">
        <f>R29*B8</f>
        <v>9007940.51131879</v>
      </c>
      <c r="S30" s="25">
        <f>S29*B8</f>
        <v>9007940.51131879</v>
      </c>
      <c r="T30" s="25">
        <f>T29*B8</f>
        <v>9007940.51131879</v>
      </c>
      <c r="U30" s="25">
        <f>U29*B8</f>
        <v>9007940.51131879</v>
      </c>
      <c r="V30" s="25">
        <f>V29*B8</f>
        <v>11301440.51131879</v>
      </c>
    </row>
    <row r="31" spans="1:22" ht="22.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ht="14.25">
      <c r="A32" s="25" t="s">
        <v>55</v>
      </c>
      <c r="B32" s="25">
        <f>0-B24-B25</f>
        <v>-57840000</v>
      </c>
      <c r="C32" s="25">
        <f>C20-C24-C25-C26-C27-C30</f>
        <v>-105363949.50420734</v>
      </c>
      <c r="D32" s="25">
        <f aca="true" t="shared" si="4" ref="D32:U32">D20-D26-D27-D30</f>
        <v>25516548.91691996</v>
      </c>
      <c r="E32" s="25">
        <f t="shared" si="4"/>
        <v>25242648.91691996</v>
      </c>
      <c r="F32" s="25">
        <f t="shared" si="4"/>
        <v>24932448.91691996</v>
      </c>
      <c r="G32" s="25">
        <f t="shared" si="4"/>
        <v>24595848.91691996</v>
      </c>
      <c r="H32" s="25">
        <f t="shared" si="4"/>
        <v>24269148.91691996</v>
      </c>
      <c r="I32" s="25">
        <f t="shared" si="4"/>
        <v>23922648.91691996</v>
      </c>
      <c r="J32" s="25">
        <f t="shared" si="4"/>
        <v>23549748.91691996</v>
      </c>
      <c r="K32" s="25">
        <f t="shared" si="4"/>
        <v>23549748.91691996</v>
      </c>
      <c r="L32" s="25">
        <f t="shared" si="4"/>
        <v>23549748.91691996</v>
      </c>
      <c r="M32" s="25">
        <f t="shared" si="4"/>
        <v>22605948.91691996</v>
      </c>
      <c r="N32" s="25">
        <f t="shared" si="4"/>
        <v>18358848.91691996</v>
      </c>
      <c r="O32" s="25">
        <f t="shared" si="4"/>
        <v>18358848.91691996</v>
      </c>
      <c r="P32" s="25">
        <f t="shared" si="4"/>
        <v>18358848.91691996</v>
      </c>
      <c r="Q32" s="25">
        <f t="shared" si="4"/>
        <v>18358848.91691996</v>
      </c>
      <c r="R32" s="25">
        <f t="shared" si="4"/>
        <v>18358848.91691996</v>
      </c>
      <c r="S32" s="25">
        <f t="shared" si="4"/>
        <v>18358848.91691996</v>
      </c>
      <c r="T32" s="25">
        <f t="shared" si="4"/>
        <v>18358848.91691996</v>
      </c>
      <c r="U32" s="25">
        <f t="shared" si="4"/>
        <v>18358848.91691996</v>
      </c>
      <c r="V32" s="25">
        <f>V20+V21+V22-V26-V27-V30</f>
        <v>23015348.91691997</v>
      </c>
    </row>
    <row r="33" spans="1:22" ht="14.25">
      <c r="A33" s="5" t="s">
        <v>59</v>
      </c>
      <c r="B33" s="13">
        <f>IRR(B32:V32)</f>
        <v>0.12000069996341674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4.25">
      <c r="A34" s="25" t="s">
        <v>56</v>
      </c>
      <c r="B34" s="25"/>
      <c r="C34" s="25"/>
      <c r="D34" s="25">
        <f>B10*B11</f>
        <v>17012114.620162565</v>
      </c>
      <c r="E34" s="25">
        <f aca="true" t="shared" si="5" ref="E34:J34">D34</f>
        <v>17012114.620162565</v>
      </c>
      <c r="F34" s="25">
        <f t="shared" si="5"/>
        <v>17012114.620162565</v>
      </c>
      <c r="G34" s="25">
        <f t="shared" si="5"/>
        <v>17012114.620162565</v>
      </c>
      <c r="H34" s="25">
        <f t="shared" si="5"/>
        <v>17012114.620162565</v>
      </c>
      <c r="I34" s="25">
        <f t="shared" si="5"/>
        <v>17012114.620162565</v>
      </c>
      <c r="J34" s="25">
        <f t="shared" si="5"/>
        <v>17012114.620162565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ht="14.25">
      <c r="A35" s="25" t="s">
        <v>57</v>
      </c>
      <c r="B35" s="25">
        <f aca="true" t="shared" si="6" ref="B35:V35">B32+B34</f>
        <v>-57840000</v>
      </c>
      <c r="C35" s="25">
        <f t="shared" si="6"/>
        <v>-105363949.50420734</v>
      </c>
      <c r="D35" s="25">
        <f t="shared" si="6"/>
        <v>42528663.53708252</v>
      </c>
      <c r="E35" s="25">
        <f t="shared" si="6"/>
        <v>42254763.53708252</v>
      </c>
      <c r="F35" s="25">
        <f t="shared" si="6"/>
        <v>41944563.53708252</v>
      </c>
      <c r="G35" s="25">
        <f t="shared" si="6"/>
        <v>41607963.53708252</v>
      </c>
      <c r="H35" s="25">
        <f t="shared" si="6"/>
        <v>41281263.53708252</v>
      </c>
      <c r="I35" s="25">
        <f t="shared" si="6"/>
        <v>40934763.53708252</v>
      </c>
      <c r="J35" s="25">
        <f t="shared" si="6"/>
        <v>40561863.53708252</v>
      </c>
      <c r="K35" s="25">
        <f t="shared" si="6"/>
        <v>23549748.91691996</v>
      </c>
      <c r="L35" s="25">
        <f t="shared" si="6"/>
        <v>23549748.91691996</v>
      </c>
      <c r="M35" s="25">
        <f t="shared" si="6"/>
        <v>22605948.91691996</v>
      </c>
      <c r="N35" s="25">
        <f t="shared" si="6"/>
        <v>18358848.91691996</v>
      </c>
      <c r="O35" s="25">
        <f t="shared" si="6"/>
        <v>18358848.91691996</v>
      </c>
      <c r="P35" s="25">
        <f t="shared" si="6"/>
        <v>18358848.91691996</v>
      </c>
      <c r="Q35" s="25">
        <f t="shared" si="6"/>
        <v>18358848.91691996</v>
      </c>
      <c r="R35" s="25">
        <f t="shared" si="6"/>
        <v>18358848.91691996</v>
      </c>
      <c r="S35" s="25">
        <f t="shared" si="6"/>
        <v>18358848.91691996</v>
      </c>
      <c r="T35" s="25">
        <f t="shared" si="6"/>
        <v>18358848.91691996</v>
      </c>
      <c r="U35" s="25">
        <f t="shared" si="6"/>
        <v>18358848.91691996</v>
      </c>
      <c r="V35" s="25">
        <f t="shared" si="6"/>
        <v>23015348.91691997</v>
      </c>
    </row>
    <row r="36" spans="1:22" ht="14.25">
      <c r="A36" s="5" t="s">
        <v>58</v>
      </c>
      <c r="B36" s="13">
        <f>IRR(B35:V35)</f>
        <v>0.20250263155486345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4.25">
      <c r="A38" s="2" t="s">
        <v>98</v>
      </c>
      <c r="B38" s="48">
        <f>(B15-'Gangyuan IRR analysis'!B15)/'Gangyuan IRR analysis'!B15</f>
        <v>0.14669777398171369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42" spans="2:10" ht="14.25">
      <c r="B42" s="50">
        <v>-0.2</v>
      </c>
      <c r="C42" s="50">
        <v>-0.15</v>
      </c>
      <c r="D42" s="50">
        <v>-0.1</v>
      </c>
      <c r="E42" s="50">
        <v>-0.05</v>
      </c>
      <c r="F42" s="50">
        <v>0</v>
      </c>
      <c r="G42" s="50">
        <v>0.05</v>
      </c>
      <c r="H42" s="50">
        <v>0.10000000000000014</v>
      </c>
      <c r="I42" s="50">
        <v>0.15</v>
      </c>
      <c r="J42" s="50">
        <v>0.2</v>
      </c>
    </row>
    <row r="43" spans="2:10" ht="14.25">
      <c r="B43" s="51">
        <f>F43*0.8</f>
        <v>480</v>
      </c>
      <c r="C43" s="51">
        <f>F43*0.85</f>
        <v>510</v>
      </c>
      <c r="D43" s="51">
        <f>F43*0.9</f>
        <v>540</v>
      </c>
      <c r="E43" s="51">
        <f>F43*0.95</f>
        <v>570</v>
      </c>
      <c r="F43" s="51">
        <v>600</v>
      </c>
      <c r="G43" s="51">
        <f>F43*1.05</f>
        <v>630</v>
      </c>
      <c r="H43" s="51">
        <f>F43*1.1</f>
        <v>660</v>
      </c>
      <c r="I43" s="51">
        <f>F43*1.15</f>
        <v>690</v>
      </c>
      <c r="J43" s="51">
        <f>F43*1.2</f>
        <v>720</v>
      </c>
    </row>
    <row r="44" spans="2:10" ht="14.25">
      <c r="B44" s="52">
        <f>0.0493</f>
        <v>0.0493</v>
      </c>
      <c r="C44" s="52">
        <f>6.08%</f>
        <v>0.0608</v>
      </c>
      <c r="D44" s="52">
        <f>7.17%</f>
        <v>0.0717</v>
      </c>
      <c r="E44" s="52">
        <f>8.21%</f>
        <v>0.0821</v>
      </c>
      <c r="F44" s="52">
        <f>9.22%</f>
        <v>0.0922</v>
      </c>
      <c r="G44" s="52">
        <f>10.2%</f>
        <v>0.102</v>
      </c>
      <c r="H44" s="52">
        <f>11.14%</f>
        <v>0.1114</v>
      </c>
      <c r="I44" s="52">
        <f>12.06%</f>
        <v>0.1206</v>
      </c>
      <c r="J44" s="52">
        <f>12.96%</f>
        <v>0.12960000000000002</v>
      </c>
    </row>
    <row r="45" spans="2:10" ht="14.25">
      <c r="B45" s="50"/>
      <c r="C45" s="32"/>
      <c r="D45" s="32"/>
      <c r="E45" s="32"/>
      <c r="F45" s="32"/>
      <c r="G45" s="32"/>
      <c r="H45" s="32"/>
      <c r="I45" s="32"/>
      <c r="J45" s="32"/>
    </row>
    <row r="46" spans="2:10" ht="14.25">
      <c r="B46" s="32"/>
      <c r="C46" s="32"/>
      <c r="D46" s="32"/>
      <c r="E46" s="32"/>
      <c r="F46" s="32"/>
      <c r="G46" s="32"/>
      <c r="H46" s="32"/>
      <c r="I46" s="32"/>
      <c r="J46" s="32"/>
    </row>
    <row r="47" spans="2:10" ht="14.25">
      <c r="B47" s="32"/>
      <c r="C47" s="32"/>
      <c r="D47" s="32"/>
      <c r="E47" s="32"/>
      <c r="F47" s="32"/>
      <c r="G47" s="32"/>
      <c r="H47" s="32"/>
      <c r="I47" s="32"/>
      <c r="J47" s="32"/>
    </row>
    <row r="48" spans="2:10" ht="14.25">
      <c r="B48" s="52">
        <v>0.1200009141611697</v>
      </c>
      <c r="C48" s="52">
        <v>0.1200009141611697</v>
      </c>
      <c r="D48" s="52">
        <v>0.1200009141611697</v>
      </c>
      <c r="E48" s="52">
        <v>0.1200009141611697</v>
      </c>
      <c r="F48" s="52">
        <v>0.1200009141611697</v>
      </c>
      <c r="G48" s="52">
        <v>0.1200009141611697</v>
      </c>
      <c r="H48" s="52">
        <v>0.1200009141611697</v>
      </c>
      <c r="I48" s="52">
        <v>0.1200009141611697</v>
      </c>
      <c r="J48" s="52">
        <v>0.1200009141611697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Michael van der Meer</cp:lastModifiedBy>
  <dcterms:created xsi:type="dcterms:W3CDTF">2007-10-14T12:33:30Z</dcterms:created>
  <dcterms:modified xsi:type="dcterms:W3CDTF">2008-07-29T05:25:17Z</dcterms:modified>
  <cp:category/>
  <cp:version/>
  <cp:contentType/>
  <cp:contentStatus/>
</cp:coreProperties>
</file>